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<sst xmlns="http://schemas.openxmlformats.org/spreadsheetml/2006/main" count="514" uniqueCount="514">
  <si>
    <t>Slepý stavební rozpočet</t>
  </si>
  <si>
    <t>Název stavby:</t>
  </si>
  <si>
    <t xml:space="preserve"> </t>
  </si>
  <si>
    <t>Doba výstavby:</t>
  </si>
  <si>
    <t>Objednatel:</t>
  </si>
  <si>
    <t> </t>
  </si>
  <si>
    <t>Druh stavby:</t>
  </si>
  <si>
    <t>Začátek výstavby:</t>
  </si>
  <si>
    <t>02.02.2023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</si>
  <si>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</si>
  <si>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</si>
  <si>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</si>
  <si>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</si>
  <si>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</si>
  <si>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</si>
  <si>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</si>
  <si>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</si>
  <si>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</si>
  <si>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</si>
  <si>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</si>
  <si>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</si>
  <si>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</si>
  <si>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</si>
  <si>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</si>
  <si>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</si>
  <si>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</si>
  <si>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</si>
  <si>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</si>
  <si>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</si>
  <si>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</si>
  <si>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</si>
  <si>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</si>
  <si>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</si>
  <si>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</si>
  <si>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</si>
  <si>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</si>
  <si>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</si>
  <si>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</si>
  <si>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</si>
  <si>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</si>
  <si>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</si>
  <si>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</si>
  <si>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</si>
  <si>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</si>
  <si>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</si>
  <si>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</si>
  <si>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721</t>
  </si>
  <si>
    <t>Vnitřní kanalizace</t>
  </si>
  <si>
    <t>1</t>
  </si>
  <si>
    <t>721176101R00</t>
  </si>
  <si>
    <t>Potrubí HT připojovací, D 32 x 1,8 mm</t>
  </si>
  <si>
    <t>m</t>
  </si>
  <si>
    <t>RTS II / 2023</t>
  </si>
  <si>
    <t>7</t>
  </si>
  <si>
    <t>721_</t>
  </si>
  <si>
    <t>72_</t>
  </si>
  <si>
    <t>_</t>
  </si>
  <si>
    <t>2</t>
  </si>
  <si>
    <t>721176103R00</t>
  </si>
  <si>
    <t>Potrubí HT připojovací, D 50 x 1,8 mm</t>
  </si>
  <si>
    <t>3</t>
  </si>
  <si>
    <t>721176104R00</t>
  </si>
  <si>
    <t>Potrubí HT připojovací, D 75 x 1,9 mm</t>
  </si>
  <si>
    <t>4</t>
  </si>
  <si>
    <t>721176105R00</t>
  </si>
  <si>
    <t>Potrubí HT připojovací, D 110 x 2,7 mm</t>
  </si>
  <si>
    <t>5</t>
  </si>
  <si>
    <t>721176134R00</t>
  </si>
  <si>
    <t>Potrubí HT svodné (ležaté) zavěšené, D 75 x 1,9 mm</t>
  </si>
  <si>
    <t>6</t>
  </si>
  <si>
    <t>721176135R00</t>
  </si>
  <si>
    <t>Potrubí HT svodné (ležaté) zavěšené, D 110 x 2,7 mm</t>
  </si>
  <si>
    <t>721176114R00</t>
  </si>
  <si>
    <t>Potrubí HT odpadní svislé, D 75 x 1,9 mm</t>
  </si>
  <si>
    <t>8</t>
  </si>
  <si>
    <t>721176115R00</t>
  </si>
  <si>
    <t>Potrubí HT odpadní svislé, D 110 x 2,7 mm</t>
  </si>
  <si>
    <t>9</t>
  </si>
  <si>
    <t>721176145R00</t>
  </si>
  <si>
    <t>Potrubí HT dešťové (svislé), D 110 x 2,7 mm</t>
  </si>
  <si>
    <t>10</t>
  </si>
  <si>
    <t>721176116R00</t>
  </si>
  <si>
    <t>Potrubí HT odpadní svislé, D 125 x 3,1 mm</t>
  </si>
  <si>
    <t>11</t>
  </si>
  <si>
    <t>722IZOL001VD</t>
  </si>
  <si>
    <t>Izolace návleková z PE tl. 5mm pro odpadní potrubí  DN 32</t>
  </si>
  <si>
    <t>12</t>
  </si>
  <si>
    <t>722IZOL003VD</t>
  </si>
  <si>
    <t>Izolace návleková z PE tl. 5mm pro odpadní potrubí  DN 50</t>
  </si>
  <si>
    <t>13</t>
  </si>
  <si>
    <t>722IZOL004VD</t>
  </si>
  <si>
    <t>Izolace návleková z PE tl. 5mm pro odpadní potrubí  DN 75</t>
  </si>
  <si>
    <t>14</t>
  </si>
  <si>
    <t>722IZOL005VD</t>
  </si>
  <si>
    <t>Izolace návleková z PE tl. 5mm pro odpadní potrubí  DN 110</t>
  </si>
  <si>
    <t>15</t>
  </si>
  <si>
    <t>722IZOL006VD</t>
  </si>
  <si>
    <t>Izolace návleková z PE tl. 5mm pro odpadní potrubí  DN 125</t>
  </si>
  <si>
    <t>16</t>
  </si>
  <si>
    <t>721ČK004VD</t>
  </si>
  <si>
    <t>Čistíci kus HT DN75</t>
  </si>
  <si>
    <t>ks</t>
  </si>
  <si>
    <t>17</t>
  </si>
  <si>
    <t>721ČK005VD</t>
  </si>
  <si>
    <t>Čistíci kus HT DN110</t>
  </si>
  <si>
    <t>18</t>
  </si>
  <si>
    <t>721ČK006VD</t>
  </si>
  <si>
    <t>Čistíci kus HT DN125</t>
  </si>
  <si>
    <t>19</t>
  </si>
  <si>
    <t>725980122R00</t>
  </si>
  <si>
    <t>Dvířka z plastu, 150 x 200 mm</t>
  </si>
  <si>
    <t>kus</t>
  </si>
  <si>
    <t>20</t>
  </si>
  <si>
    <t>721223427RT1T1IM</t>
  </si>
  <si>
    <t>Vtok kondenzátu DN32 se zápachovou uzávěrkou a přídavným uzávěrem (kuličkou)</t>
  </si>
  <si>
    <t>RTS II / 2022</t>
  </si>
  <si>
    <t>21</t>
  </si>
  <si>
    <t>725ZU001VD</t>
  </si>
  <si>
    <t>Zápachová uzávěrka DN32 s mechanickou zápachovou uzávěrkou pro odvod kondenzátu</t>
  </si>
  <si>
    <t>Varianta:</t>
  </si>
  <si>
    <t>podomítková pro klimatizace</t>
  </si>
  <si>
    <t>22</t>
  </si>
  <si>
    <t>721ČERP001VD</t>
  </si>
  <si>
    <t>Přečerpávací stanice pro odpadní vody s kondenzátem</t>
  </si>
  <si>
    <t>kpl</t>
  </si>
  <si>
    <t xml:space="preserve">průtok 0,1 l/s, H=3,5m, 230V, 50Hz, P=75W, 3A
</t>
  </si>
  <si>
    <t>23</t>
  </si>
  <si>
    <t>974031164IM</t>
  </si>
  <si>
    <t>Vysekání rýh ve zdi cihelné 15 x 15 cm</t>
  </si>
  <si>
    <t>24</t>
  </si>
  <si>
    <t>974031153IM</t>
  </si>
  <si>
    <t>Vysekání rýh ve zdi cihelné 10 x 10 cm</t>
  </si>
  <si>
    <t>25</t>
  </si>
  <si>
    <t>721194103R00</t>
  </si>
  <si>
    <t>Vyvedení odpadních výpustek, D 32 x 1,8 mm</t>
  </si>
  <si>
    <t>26</t>
  </si>
  <si>
    <t>721194104R00</t>
  </si>
  <si>
    <t>Vyvedení odpadních výpustek, D 40 x 1,8 mm</t>
  </si>
  <si>
    <t>27</t>
  </si>
  <si>
    <t>721194105R00</t>
  </si>
  <si>
    <t>Vyvedení odpadních výpustek, D 50 x 1,8 mm</t>
  </si>
  <si>
    <t>28</t>
  </si>
  <si>
    <t>721194107R00</t>
  </si>
  <si>
    <t>Vyvedení odpadních výpustek, D 75 x 1,9 mm</t>
  </si>
  <si>
    <t>29</t>
  </si>
  <si>
    <t>721194109R00</t>
  </si>
  <si>
    <t>Vyvedení odpadních výpustek, D 110 x 2,3 mm</t>
  </si>
  <si>
    <t>30</t>
  </si>
  <si>
    <t>721290112R00</t>
  </si>
  <si>
    <t>Zkouška těsnosti kanalizace vodou DN 200 mm</t>
  </si>
  <si>
    <t>31</t>
  </si>
  <si>
    <t>721NAPOJ001VD</t>
  </si>
  <si>
    <t>Napojení na stávající stoupací potrubí kanalizace</t>
  </si>
  <si>
    <t>přechod litina/HT</t>
  </si>
  <si>
    <t>32</t>
  </si>
  <si>
    <t>721OCH001VD</t>
  </si>
  <si>
    <t>Provedení prostupu stropem pro kanalizační potrubí do průměru 150mm</t>
  </si>
  <si>
    <t>pomocí jádrového vrtání</t>
  </si>
  <si>
    <t>33</t>
  </si>
  <si>
    <t>895625487T1IM</t>
  </si>
  <si>
    <t>Protipožární prostupy potrubí certifikovaným materiálem s odolností min. EI60 vč.označení průchodů  identifikačními štítky certifikovanou firmou</t>
  </si>
  <si>
    <t>34</t>
  </si>
  <si>
    <t>721140806R00</t>
  </si>
  <si>
    <t>Demontáž potrubí litinového do DN 200 mm</t>
  </si>
  <si>
    <t>35</t>
  </si>
  <si>
    <t>998721102R00</t>
  </si>
  <si>
    <t>Přesun hmot pro vnitřní kanalizaci, výšky do 12 m</t>
  </si>
  <si>
    <t>t</t>
  </si>
  <si>
    <t>722</t>
  </si>
  <si>
    <t>Vnitřní vodovod</t>
  </si>
  <si>
    <t>36</t>
  </si>
  <si>
    <t>722172611R00</t>
  </si>
  <si>
    <t>Potrubí plastové PP-R Instaplast, bez zednických výpomocí, D 20 x 2,8 mm, PN 16</t>
  </si>
  <si>
    <t>722_</t>
  </si>
  <si>
    <t>37</t>
  </si>
  <si>
    <t>722172612R00</t>
  </si>
  <si>
    <t>Potrubí plastové PP-R Instaplast, bez zednických výpomocí, D 25 x 3,5 mm, PN 16</t>
  </si>
  <si>
    <t>38</t>
  </si>
  <si>
    <t>722172613R00</t>
  </si>
  <si>
    <t>Potrubí plastové PP-R Instaplast, bez zednických výpomocí, D 32 x 4,4 mm, PN 16</t>
  </si>
  <si>
    <t>39</t>
  </si>
  <si>
    <t>722172614R00</t>
  </si>
  <si>
    <t>Potrubí plastové PP-R Instaplast, bez zednických výpomocí, D 40 x 5,5 mm, PN 16</t>
  </si>
  <si>
    <t>40</t>
  </si>
  <si>
    <t>722172615R00</t>
  </si>
  <si>
    <t>Potrubí plastové PP-R Instaplast, bez zednických výpomocí, D 50 x 6,9 mm, PN 16</t>
  </si>
  <si>
    <t>41</t>
  </si>
  <si>
    <t>722181214RT7</t>
  </si>
  <si>
    <t>Izolace návleková z PE tl. stěny 20 mm, vnitřní průměr 22 mm</t>
  </si>
  <si>
    <t>42</t>
  </si>
  <si>
    <t>722181214RT8</t>
  </si>
  <si>
    <t>Izolace návleková z PE tl. stěny 20 mm, vnitřní průměr 25 mm</t>
  </si>
  <si>
    <t>43</t>
  </si>
  <si>
    <t>722181214RU1</t>
  </si>
  <si>
    <t>Izolace návleková z PE tl. stěny 20 mm, vnitřní průměr 32 mm</t>
  </si>
  <si>
    <t>44</t>
  </si>
  <si>
    <t>722181214RV9</t>
  </si>
  <si>
    <t>Izolace návleková z PE tl. stěny 20 mm, vnitřní průměr 40 mm</t>
  </si>
  <si>
    <t>45</t>
  </si>
  <si>
    <t>722181214RW6</t>
  </si>
  <si>
    <t>Izolace návleková z PE tl. stěny 20 mm, vnitřní průměr 50 mm</t>
  </si>
  <si>
    <t>46</t>
  </si>
  <si>
    <t>723zlab0001VD</t>
  </si>
  <si>
    <t>Podpurný pozinkovaný žlab pro potrubí D20</t>
  </si>
  <si>
    <t>47</t>
  </si>
  <si>
    <t>723zlab0002VD</t>
  </si>
  <si>
    <t>Podpurný pozinkovaný žlab pro potrubí D25</t>
  </si>
  <si>
    <t>48</t>
  </si>
  <si>
    <t>723zlab0003VD</t>
  </si>
  <si>
    <t>Podpurný pozinkovaný žlab pro potrubí D32</t>
  </si>
  <si>
    <t>49</t>
  </si>
  <si>
    <t>723zlab0005VD</t>
  </si>
  <si>
    <t>Podpurný pozinkovaný žlab pro potrubí D50</t>
  </si>
  <si>
    <t>50</t>
  </si>
  <si>
    <t>722202213R00T1IM</t>
  </si>
  <si>
    <t>Nástěnka DN15 PPR</t>
  </si>
  <si>
    <t>51</t>
  </si>
  <si>
    <t>722236212R00</t>
  </si>
  <si>
    <t>Kohout kulový, vnitřní-vnitřní závit, DN 15 mm</t>
  </si>
  <si>
    <t>52</t>
  </si>
  <si>
    <t>722236213R00</t>
  </si>
  <si>
    <t>Kohout kulový, vnitřní-vnitřní závit, DN 20 mm</t>
  </si>
  <si>
    <t>53</t>
  </si>
  <si>
    <t>722236214R00</t>
  </si>
  <si>
    <t>Kohout kulový, vnitřní-vnitřní závit, DN 25 mm</t>
  </si>
  <si>
    <t>54</t>
  </si>
  <si>
    <t>722236216R00</t>
  </si>
  <si>
    <t>Kohout kulový, vnitřní-vnitřní závit, DN 40 mm</t>
  </si>
  <si>
    <t>55</t>
  </si>
  <si>
    <t>723F33VD</t>
  </si>
  <si>
    <t>D+M 3-stupňový mechanický filtr DN20 pro filtraci  vody pro užitkový vodovod</t>
  </si>
  <si>
    <t>omyvatelný předfiltr s jemností síta 100µm (zadržuje nerozpuštěné látky), jemné síto 50µm (zabraňuje pronikání částic jako např. úlomky rzi, konopná vlákna nebo zrnka písku) a vložku s aktivním uhlím (odstraňuje jemné částice).</t>
  </si>
  <si>
    <t>56</t>
  </si>
  <si>
    <t>722224111R00</t>
  </si>
  <si>
    <t>Kohout plnicí a vypouštěcí, DN 15 mm</t>
  </si>
  <si>
    <t>57</t>
  </si>
  <si>
    <t>723TRV0001VD</t>
  </si>
  <si>
    <t>Termostatický cirkulační ventil DN 15</t>
  </si>
  <si>
    <t>Nastavitelný rozsah teplot 40-60°C</t>
  </si>
  <si>
    <t>58</t>
  </si>
  <si>
    <t>722239101R00</t>
  </si>
  <si>
    <t>Montáž vodovodních armatur 2závity, G 1/2"</t>
  </si>
  <si>
    <t>59</t>
  </si>
  <si>
    <t>722239102R00</t>
  </si>
  <si>
    <t>Montáž vodovodních armatur 2závity, G 3/4"</t>
  </si>
  <si>
    <t>60</t>
  </si>
  <si>
    <t>722239103R00</t>
  </si>
  <si>
    <t>Montáž vodovodních armatur 2závity, G 1"</t>
  </si>
  <si>
    <t>61</t>
  </si>
  <si>
    <t>722239105R00</t>
  </si>
  <si>
    <t>Montáž vodovodních armatur 2závity, G 6/4"</t>
  </si>
  <si>
    <t>62</t>
  </si>
  <si>
    <t>722229101R00</t>
  </si>
  <si>
    <t>Montáž vodovodních armatur,1závit, G 1/2"</t>
  </si>
  <si>
    <t>63</t>
  </si>
  <si>
    <t>Dvířka z plastu, 400 x 400 mm</t>
  </si>
  <si>
    <t>64</t>
  </si>
  <si>
    <t>65</t>
  </si>
  <si>
    <t>66</t>
  </si>
  <si>
    <t>722254201RT2</t>
  </si>
  <si>
    <t>Hydrantový systém, box s plnými dveřmi, průměr 19/20 mm  se stálotvarou hadicí dle ČSN 730873 EN 671 - 1</t>
  </si>
  <si>
    <t>67</t>
  </si>
  <si>
    <t>722259201R00</t>
  </si>
  <si>
    <t>Montáž hydrantového systému D25</t>
  </si>
  <si>
    <t>68</t>
  </si>
  <si>
    <t>722130233R00</t>
  </si>
  <si>
    <t>Potrubí z trubek závitových pozinkovaných svařovaných 11 343, DN 25 mm</t>
  </si>
  <si>
    <t>69</t>
  </si>
  <si>
    <t>722130238R00</t>
  </si>
  <si>
    <t>Potrubí z trubek závitových pozinkovaných svařovaných 11 343, DN 80 mm</t>
  </si>
  <si>
    <t>70</t>
  </si>
  <si>
    <t>722181214RU2</t>
  </si>
  <si>
    <t>Izolace návleková z PE tl. stěny 20 mm, vnitřní průměr 35 mm</t>
  </si>
  <si>
    <t>71</t>
  </si>
  <si>
    <t>722181214RY7</t>
  </si>
  <si>
    <t>Izolace návleková z PE tl. stěny 20 mm, vnitřní průměr 89 mm</t>
  </si>
  <si>
    <t>72</t>
  </si>
  <si>
    <t>722259991R00</t>
  </si>
  <si>
    <t>Tlaková zkouška nástěnného požárního hydrantu</t>
  </si>
  <si>
    <t>73</t>
  </si>
  <si>
    <t>722259994R00</t>
  </si>
  <si>
    <t>Revize nástěnného požárního hydrantu</t>
  </si>
  <si>
    <t>74</t>
  </si>
  <si>
    <t>722259995R00</t>
  </si>
  <si>
    <t>Vystavení revizní zprávy - nástěnný požární hydrant</t>
  </si>
  <si>
    <t>75</t>
  </si>
  <si>
    <t>722NAPOJVD</t>
  </si>
  <si>
    <t>Napojení na stávající stoupací potrubí vodovodu</t>
  </si>
  <si>
    <t>materiálový přechod</t>
  </si>
  <si>
    <t>76</t>
  </si>
  <si>
    <t>721OCH003VD</t>
  </si>
  <si>
    <t>Provedení prostupu pro vodovodní potrubí do průměru 90mm</t>
  </si>
  <si>
    <t>77</t>
  </si>
  <si>
    <t>722130801R00</t>
  </si>
  <si>
    <t>Demontáž potrubí ocelových závitových, DN 25 mm</t>
  </si>
  <si>
    <t>78</t>
  </si>
  <si>
    <t>722130802R00</t>
  </si>
  <si>
    <t>Demontáž potrubí ocelových závitových, DN 40 mm</t>
  </si>
  <si>
    <t>79</t>
  </si>
  <si>
    <t>722130803R00</t>
  </si>
  <si>
    <t>Demontáž potrubí ocelových závitových, DN 50 mm</t>
  </si>
  <si>
    <t>80</t>
  </si>
  <si>
    <t>722130805R00</t>
  </si>
  <si>
    <t>Demontáž potrubí ocelových závitových, DN 80 mm</t>
  </si>
  <si>
    <t>81</t>
  </si>
  <si>
    <t>82</t>
  </si>
  <si>
    <t>722290234R00</t>
  </si>
  <si>
    <t>Proplach a dezinfekce vodovodního potrubí DN 80 mm</t>
  </si>
  <si>
    <t>83</t>
  </si>
  <si>
    <t>722280109R00</t>
  </si>
  <si>
    <t>Tlaková zkouška vodovodního potrubí DN 65 mm</t>
  </si>
  <si>
    <t>84</t>
  </si>
  <si>
    <t>998722102R00</t>
  </si>
  <si>
    <t>Přesun hmot pro vnitřní vodovod, výšky do 12 m</t>
  </si>
  <si>
    <t>725</t>
  </si>
  <si>
    <t>Zařizovací předměty</t>
  </si>
  <si>
    <t>85</t>
  </si>
  <si>
    <t>725014131RT1</t>
  </si>
  <si>
    <t>Klozet závěsný  + sedátko, bílý, včetně sedátka v bílé barvě, montáž na instalační předstěn</t>
  </si>
  <si>
    <t>soubor</t>
  </si>
  <si>
    <t>725_</t>
  </si>
  <si>
    <t>délka 56cm, hluboké splachování, barva bíla, designové provedení výrobku bude řešeno dle projektu interiéru</t>
  </si>
  <si>
    <t>86</t>
  </si>
  <si>
    <t>Klozet závěsný  + sedátko, bílý pro invalidy, včetně sedátka v bílé barvě, montáž na instalační předstěn</t>
  </si>
  <si>
    <t>délka 70cm, hluboké splachování, barva bíla, tlačítka a oddáleného splachování, modulu pro závěsné wc do SDK, designové provedení výrobku bude řešeno dle projektu interiéru</t>
  </si>
  <si>
    <t>87</t>
  </si>
  <si>
    <t>726211121R00</t>
  </si>
  <si>
    <t>Modul pro WC Kombifix, UP320, h 108 cm, pro klozet závěsný  s ovládáním zepředu  s kovovou kcí</t>
  </si>
  <si>
    <t>včetně soupravy pro tlumení hluku,rohového ventilu, ovladacího tlačítka.</t>
  </si>
  <si>
    <t>88</t>
  </si>
  <si>
    <t>725119401R00</t>
  </si>
  <si>
    <t>Montáž předstěnových systémů pro zazdění</t>
  </si>
  <si>
    <t>89</t>
  </si>
  <si>
    <t>725119306R00</t>
  </si>
  <si>
    <t>Montáž klozetu závěsného</t>
  </si>
  <si>
    <t>90</t>
  </si>
  <si>
    <t>725017162R00</t>
  </si>
  <si>
    <t>Umyvadlo na šrouby, 55 x 45 cm, bílé</t>
  </si>
  <si>
    <t>designové provedení výrobku bude řešeno dle projektu interiéru</t>
  </si>
  <si>
    <t>91</t>
  </si>
  <si>
    <t>725017172R00</t>
  </si>
  <si>
    <t>Umyvadlo do laminové desky, 46 x 33 cm, bílé</t>
  </si>
  <si>
    <t>92</t>
  </si>
  <si>
    <t>725017153R00</t>
  </si>
  <si>
    <t>Umyvadlo invalidní  64 x 55cm, bílé</t>
  </si>
  <si>
    <t>93</t>
  </si>
  <si>
    <t>725017371R00</t>
  </si>
  <si>
    <t>Umývátko na šrouby  42 x 30 cm, bílé, rohové</t>
  </si>
  <si>
    <t>Rohové provedení, designové provedení výrobku bude řešeno dle projektu interiéru</t>
  </si>
  <si>
    <t>94</t>
  </si>
  <si>
    <t>725823121RT1</t>
  </si>
  <si>
    <t>Baterie umyvadlová stoján. ruční, vč. otvír.odpadu</t>
  </si>
  <si>
    <t>vyložení 119 mm, průtokové množství, průtok při 0,3 MPa 5 l/min, keramická kartuše, designové provedení výrobku bude řešeno dle projektu interiéru</t>
  </si>
  <si>
    <t>95</t>
  </si>
  <si>
    <t>Baterie umyvadlová stoján. ruční, vč. otvír.odpadu s prodlouženou rukojeťí</t>
  </si>
  <si>
    <t>vyložení 119 mm, průtokové množství, průtok při 0,3 MPa 5 l/min, keramická kartuše, prodloužená rukojeť, designové provedení výrobku bude řešeno dle projektu interiéru</t>
  </si>
  <si>
    <t>96</t>
  </si>
  <si>
    <t>725823134RT0</t>
  </si>
  <si>
    <t>Baterie stojánková ruční s výsuv. sprchou</t>
  </si>
  <si>
    <t>základní do porodních apartmánů k umyvadlu</t>
  </si>
  <si>
    <t>97</t>
  </si>
  <si>
    <t>725829301R00</t>
  </si>
  <si>
    <t>Montáž baterie umyv.a dřezové stojánkové</t>
  </si>
  <si>
    <t>98</t>
  </si>
  <si>
    <t>725860251R00</t>
  </si>
  <si>
    <t>Sifon umyvadlový chromovaný DN40</t>
  </si>
  <si>
    <t>99</t>
  </si>
  <si>
    <t>725219401R00</t>
  </si>
  <si>
    <t>Montáž umyvadel</t>
  </si>
  <si>
    <t>100</t>
  </si>
  <si>
    <t>725860201R00</t>
  </si>
  <si>
    <t>Sifon dřezový DN50, přípoj myčka, pračka</t>
  </si>
  <si>
    <t>101</t>
  </si>
  <si>
    <t>Baterie dřezová stojánková ruční s výsuv. sprchou</t>
  </si>
  <si>
    <t>základní</t>
  </si>
  <si>
    <t>102</t>
  </si>
  <si>
    <t>103</t>
  </si>
  <si>
    <t>725319101R00</t>
  </si>
  <si>
    <t>Montáž dřezů jednoduchých</t>
  </si>
  <si>
    <t>Dřez bude dodávku vybavení</t>
  </si>
  <si>
    <t>104</t>
  </si>
  <si>
    <t>725VA0001VD</t>
  </si>
  <si>
    <t>Vana porodní anatomická, dl. 1900 mm, š. 1300mm, v. 760 mm.</t>
  </si>
  <si>
    <t xml:space="preserve">Systém elektronického napouštění vody (140l/min), bez možnosti přetečení
Termostatická baterie, digitální displej teploty
Systém ohřívání a cirkulace vody pro udržování konstantní teploty vody
Vnitřní reliéf vany uzpůsobený pro vedení porodu ve vaně (zábrany na nohy proti sklouznutí)
Design dle výběru investora
Barevná a zvuková terapie, možnost připojení držáku na popruh                     UV Filtr pro přívod vody</t>
  </si>
  <si>
    <t>105</t>
  </si>
  <si>
    <t>725229102R00</t>
  </si>
  <si>
    <t>Montáž van se zápach.uzávěrkou</t>
  </si>
  <si>
    <t>průtok min. 0,8 l/s</t>
  </si>
  <si>
    <t>106</t>
  </si>
  <si>
    <t>725835113R00</t>
  </si>
  <si>
    <t>Baterie vanová ruční, včetně příslušenstvím  (porodní apartmány)</t>
  </si>
  <si>
    <t>107</t>
  </si>
  <si>
    <t>725839203R00</t>
  </si>
  <si>
    <t>Montáž baterie vanové G 1/2"</t>
  </si>
  <si>
    <t>108</t>
  </si>
  <si>
    <t>725SPRCH002VD</t>
  </si>
  <si>
    <t>Skleněná sprchová zástěna do niky 1000x1970mm</t>
  </si>
  <si>
    <t>komplet</t>
  </si>
  <si>
    <t>109</t>
  </si>
  <si>
    <t>725SPRCH004VD</t>
  </si>
  <si>
    <t>Sprchový nerezový žlábek vč. zápachové uzávěrky a montažního materiálu, délka 750mm, provedení krycí mřížky nerez</t>
  </si>
  <si>
    <t>110</t>
  </si>
  <si>
    <t>725249102R00</t>
  </si>
  <si>
    <t>Montáž sprchových mís a vaniček</t>
  </si>
  <si>
    <t>111</t>
  </si>
  <si>
    <t>725835113RT1</t>
  </si>
  <si>
    <t>Baterie sprchová nástěnná ruční, včetně příslušenstvím</t>
  </si>
  <si>
    <t>nástěnná baterie keramická kartuše, průtokové množství, 22 l/min, etážky s protihlukovou izolací, rozteč 150mm, designové provedení výrobku bude řešeno dle projektu interiéru</t>
  </si>
  <si>
    <t>112</t>
  </si>
  <si>
    <t>725849200R00</t>
  </si>
  <si>
    <t>Montáž baterií sprchových, nastavitelná výška</t>
  </si>
  <si>
    <t>113</t>
  </si>
  <si>
    <t>725860188RT1</t>
  </si>
  <si>
    <t>Sifon pro myčky , D 40/50 mm, podomítkový, suchá zápachová klapka</t>
  </si>
  <si>
    <t>114</t>
  </si>
  <si>
    <t>725814107R00</t>
  </si>
  <si>
    <t>Ventil rohový s filtrem pro umyvadla a dřezy DN 15 x DN 10 včetně flexi hadičky pro dopojení baterie</t>
  </si>
  <si>
    <t>115</t>
  </si>
  <si>
    <t>725814126R00</t>
  </si>
  <si>
    <t>Ventil rohový pro myčky a pračky DN 15 x DN 20</t>
  </si>
  <si>
    <t>Zdravotnická technologie</t>
  </si>
  <si>
    <t>Ventil pro čajovar</t>
  </si>
  <si>
    <t>Ventil pro myčku</t>
  </si>
  <si>
    <t>116</t>
  </si>
  <si>
    <t>725819401R00</t>
  </si>
  <si>
    <t>Montáž ventilu rohového s trubičkou G 1/2</t>
  </si>
  <si>
    <t>117</t>
  </si>
  <si>
    <t>725819402R00</t>
  </si>
  <si>
    <t>Montáž ventilu rohového bez trubičky G 1/2</t>
  </si>
  <si>
    <t>118</t>
  </si>
  <si>
    <t>725019103R00</t>
  </si>
  <si>
    <t>Výlevka závěsná s plastovou mřížkou</t>
  </si>
  <si>
    <t>rozměr 45 x 40 cm, designové provedení výrobku bude řešeno dle projektu interiéru</t>
  </si>
  <si>
    <t>119</t>
  </si>
  <si>
    <t>726211367R00</t>
  </si>
  <si>
    <t>Modul-výlevka Duofix, h 130 cm s ovládáním zepředu  s kovovou kcí včetně soupravy pro tlumení hluku,rohového ventilu,  2 ks nástěnek, připojovacího od</t>
  </si>
  <si>
    <t>120</t>
  </si>
  <si>
    <t>Montáž výlevky závěsné</t>
  </si>
  <si>
    <t>121</t>
  </si>
  <si>
    <t>725825114RT0</t>
  </si>
  <si>
    <t>Baterie pro výlevku nástěnná ruční</t>
  </si>
  <si>
    <t>Nástěnná páková baterie s otočným ramínkem, rozteč 150 mm,průtokové množství: průtok při tlaku 3bar 13 l/min, keramická kartuše</t>
  </si>
  <si>
    <t>122</t>
  </si>
  <si>
    <t>725829501R00</t>
  </si>
  <si>
    <t>Montáž baterie nástěnné pro výlevku</t>
  </si>
  <si>
    <t>123</t>
  </si>
  <si>
    <t>124</t>
  </si>
  <si>
    <t>725122222R00</t>
  </si>
  <si>
    <t>Pisoár keramický, bílý s radarový splachovačem 24V, 50Hz,včetně zápachové uzávěrky, elektromagnetický ventil,propojovací hadice</t>
  </si>
  <si>
    <t>barevné provedení bílá, šířka: 320 mm, hloubka: 350 mm výška: 645 mm, designové provedení výrobku bude řešeno dle projektu interiéru</t>
  </si>
  <si>
    <t>125</t>
  </si>
  <si>
    <t>725139101R00</t>
  </si>
  <si>
    <t>Montáž pisoárových stání ostatních</t>
  </si>
  <si>
    <t>126</t>
  </si>
  <si>
    <t>998725102R00</t>
  </si>
  <si>
    <t>Přesun hmot pro zařizovací předměty, výšky do 12 m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</si>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</sst>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1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10"/>
      <name val="Arial"/>
      <charset val="238"/>
      <i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>
        <color rgb="FFC0C0C0"/>
      </right>
      <top>
        <color rgb="FFC0C0C0"/>
      </top>
      <bottom>
        <color rgb="FFC0C0C0"/>
      </bottom>
      <diagonal/>
    </border>
    <border>
      <left/>
      <right>
        <color rgb="FFC0C0C0"/>
      </right>
      <top>
        <color rgb="FFC0C0C0"/>
      </top>
      <bottom>
        <color rgb="FFC0C0C0"/>
      </bottom>
      <diagonal/>
    </border>
    <border>
      <left/>
      <right style="thin">
        <color rgb="FFC0C0C0"/>
      </right>
      <top>
        <color rgb="FFC0C0C0"/>
      </top>
      <bottom>
        <color rgb="FFC0C0C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61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9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3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3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3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5" fillId="3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3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8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1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1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2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9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173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173:K173" activeCell="A173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42.85546875" customWidth="true"/>
    <col max="4" min="4" style="0" width="35.7109375" customWidth="true"/>
    <col max="5" min="5" style="0" width="7.425781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3.42578125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2</v>
      </c>
      <c r="H2" s="7" t="s">
        <v>4</v>
      </c>
      <c r="I2" s="4" t="s">
        <v>5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6</v>
      </c>
      <c r="B4" s="10"/>
      <c r="C4" s="14" t="s">
        <v>2</v>
      </c>
      <c r="D4" s="10"/>
      <c r="E4" s="10" t="s">
        <v>7</v>
      </c>
      <c r="F4" s="10"/>
      <c r="G4" s="10" t="s">
        <v>8</v>
      </c>
      <c r="H4" s="14" t="s">
        <v>9</v>
      </c>
      <c r="I4" s="10" t="s">
        <v>5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10</v>
      </c>
      <c r="B6" s="10"/>
      <c r="C6" s="14" t="s">
        <v>2</v>
      </c>
      <c r="D6" s="10"/>
      <c r="E6" s="10" t="s">
        <v>11</v>
      </c>
      <c r="F6" s="10"/>
      <c r="G6" s="10" t="s">
        <v>2</v>
      </c>
      <c r="H6" s="14" t="s">
        <v>12</v>
      </c>
      <c r="I6" s="10" t="s">
        <v>5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13</v>
      </c>
      <c r="B8" s="10"/>
      <c r="C8" s="14" t="s">
        <v>2</v>
      </c>
      <c r="D8" s="10"/>
      <c r="E8" s="10" t="s">
        <v>14</v>
      </c>
      <c r="F8" s="10"/>
      <c r="G8" s="10" t="s">
        <v>8</v>
      </c>
      <c r="H8" s="14" t="s">
        <v>15</v>
      </c>
      <c r="I8" s="10" t="s">
        <v>5</v>
      </c>
      <c r="J8" s="10"/>
      <c r="K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</row>
    <row r="10">
      <c r="A10" s="18" t="s">
        <v>16</v>
      </c>
      <c r="B10" s="19" t="s">
        <v>17</v>
      </c>
      <c r="C10" s="20" t="s">
        <v>18</v>
      </c>
      <c r="D10" s="21"/>
      <c r="E10" s="19" t="s">
        <v>19</v>
      </c>
      <c r="F10" s="22" t="s">
        <v>20</v>
      </c>
      <c r="G10" s="23" t="s">
        <v>21</v>
      </c>
      <c r="H10" s="24" t="s">
        <v>22</v>
      </c>
      <c r="I10" s="25"/>
      <c r="J10" s="26"/>
      <c r="K10" s="27" t="s">
        <v>23</v>
      </c>
      <c r="BK10" s="28" t="s">
        <v>24</v>
      </c>
      <c r="BL10" s="29" t="s">
        <v>25</v>
      </c>
      <c r="BW10" s="29" t="s">
        <v>26</v>
      </c>
    </row>
    <row r="11">
      <c r="A11" s="30" t="s">
        <v>2</v>
      </c>
      <c r="B11" s="31" t="s">
        <v>2</v>
      </c>
      <c r="C11" s="32" t="s">
        <v>27</v>
      </c>
      <c r="D11" s="33"/>
      <c r="E11" s="31" t="s">
        <v>2</v>
      </c>
      <c r="F11" s="31" t="s">
        <v>2</v>
      </c>
      <c r="G11" s="34" t="s">
        <v>28</v>
      </c>
      <c r="H11" s="35" t="s">
        <v>29</v>
      </c>
      <c r="I11" s="36" t="s">
        <v>30</v>
      </c>
      <c r="J11" s="37" t="s">
        <v>31</v>
      </c>
      <c r="K11" s="38" t="s">
        <v>32</v>
      </c>
      <c r="Z11" s="28" t="s">
        <v>33</v>
      </c>
      <c r="AA11" s="28" t="s">
        <v>34</v>
      </c>
      <c r="AB11" s="28" t="s">
        <v>35</v>
      </c>
      <c r="AC11" s="28" t="s">
        <v>36</v>
      </c>
      <c r="AD11" s="28" t="s">
        <v>37</v>
      </c>
      <c r="AE11" s="28" t="s">
        <v>38</v>
      </c>
      <c r="AF11" s="28" t="s">
        <v>39</v>
      </c>
      <c r="AG11" s="28" t="s">
        <v>40</v>
      </c>
      <c r="AH11" s="28" t="s">
        <v>41</v>
      </c>
      <c r="BH11" s="28" t="s">
        <v>42</v>
      </c>
      <c r="BI11" s="28" t="s">
        <v>43</v>
      </c>
      <c r="BJ11" s="28" t="s">
        <v>44</v>
      </c>
    </row>
    <row r="12">
      <c r="A12" s="39" t="s">
        <v>45</v>
      </c>
      <c r="B12" s="40" t="s">
        <v>46</v>
      </c>
      <c r="C12" s="41" t="s">
        <v>47</v>
      </c>
      <c r="D12" s="40"/>
      <c r="E12" s="42" t="s">
        <v>2</v>
      </c>
      <c r="F12" s="42" t="s">
        <v>2</v>
      </c>
      <c r="G12" s="42" t="s">
        <v>2</v>
      </c>
      <c r="H12" s="43">
        <f>SUM(H13:H51)</f>
      </c>
      <c r="I12" s="43">
        <f>SUM(I13:I51)</f>
      </c>
      <c r="J12" s="43">
        <f>SUM(J13:J51)</f>
      </c>
      <c r="K12" s="44" t="s">
        <v>45</v>
      </c>
      <c r="AI12" s="28" t="s">
        <v>45</v>
      </c>
      <c r="AS12" s="2">
        <f>SUM(AJ13:AJ51)</f>
      </c>
      <c r="AT12" s="2">
        <f>SUM(AK13:AK51)</f>
      </c>
      <c r="AU12" s="2">
        <f>SUM(AL13:AL51)</f>
      </c>
    </row>
    <row r="13">
      <c r="A13" s="9" t="s">
        <v>48</v>
      </c>
      <c r="B13" s="10" t="s">
        <v>49</v>
      </c>
      <c r="C13" s="14" t="s">
        <v>50</v>
      </c>
      <c r="D13" s="10"/>
      <c r="E13" s="10" t="s">
        <v>51</v>
      </c>
      <c r="F13" s="45" t="n">
        <v>16</v>
      </c>
      <c r="G13" s="45" t="n">
        <v>0</v>
      </c>
      <c r="H13" s="45">
        <f>F13*AO13</f>
      </c>
      <c r="I13" s="45">
        <f>F13*AP13</f>
      </c>
      <c r="J13" s="45">
        <f>F13*G13</f>
      </c>
      <c r="K13" s="46" t="s">
        <v>52</v>
      </c>
      <c r="Z13" s="45">
        <f>IF(AQ13="5",BJ13,0)</f>
      </c>
      <c r="AB13" s="45">
        <f>IF(AQ13="1",BH13,0)</f>
      </c>
      <c r="AC13" s="45">
        <f>IF(AQ13="1",BI13,0)</f>
      </c>
      <c r="AD13" s="45">
        <f>IF(AQ13="7",BH13,0)</f>
      </c>
      <c r="AE13" s="45">
        <f>IF(AQ13="7",BI13,0)</f>
      </c>
      <c r="AF13" s="45">
        <f>IF(AQ13="2",BH13,0)</f>
      </c>
      <c r="AG13" s="45">
        <f>IF(AQ13="2",BI13,0)</f>
      </c>
      <c r="AH13" s="45">
        <f>IF(AQ13="0",BJ13,0)</f>
      </c>
      <c r="AI13" s="28" t="s">
        <v>45</v>
      </c>
      <c r="AJ13" s="45">
        <f>IF(AN13=0,J13,0)</f>
      </c>
      <c r="AK13" s="45">
        <f>IF(AN13=12,J13,0)</f>
      </c>
      <c r="AL13" s="45">
        <f>IF(AN13=21,J13,0)</f>
      </c>
      <c r="AN13" s="45" t="n">
        <v>12</v>
      </c>
      <c r="AO13" s="45">
        <f>G13*0.445261538</f>
      </c>
      <c r="AP13" s="45">
        <f>G13*(1-0.445261538)</f>
      </c>
      <c r="AQ13" s="47" t="s">
        <v>53</v>
      </c>
      <c r="AV13" s="45">
        <f>AW13+AX13</f>
      </c>
      <c r="AW13" s="45">
        <f>F13*AO13</f>
      </c>
      <c r="AX13" s="45">
        <f>F13*AP13</f>
      </c>
      <c r="AY13" s="47" t="s">
        <v>54</v>
      </c>
      <c r="AZ13" s="47" t="s">
        <v>55</v>
      </c>
      <c r="BA13" s="28" t="s">
        <v>56</v>
      </c>
      <c r="BC13" s="45">
        <f>AW13+AX13</f>
      </c>
      <c r="BD13" s="45">
        <f>G13/(100-BE13)*100</f>
      </c>
      <c r="BE13" s="45" t="n">
        <v>0</v>
      </c>
      <c r="BF13" s="45">
        <f>13</f>
      </c>
      <c r="BH13" s="45">
        <f>F13*AO13</f>
      </c>
      <c r="BI13" s="45">
        <f>F13*AP13</f>
      </c>
      <c r="BJ13" s="45">
        <f>F13*G13</f>
      </c>
      <c r="BK13" s="45"/>
      <c r="BL13" s="45" t="n">
        <v>721</v>
      </c>
      <c r="BW13" s="45" t="n">
        <v>12</v>
      </c>
      <c r="BX13" s="14" t="s">
        <v>50</v>
      </c>
    </row>
    <row r="14">
      <c r="A14" s="9" t="s">
        <v>57</v>
      </c>
      <c r="B14" s="10" t="s">
        <v>58</v>
      </c>
      <c r="C14" s="14" t="s">
        <v>59</v>
      </c>
      <c r="D14" s="10"/>
      <c r="E14" s="10" t="s">
        <v>51</v>
      </c>
      <c r="F14" s="45" t="n">
        <v>92</v>
      </c>
      <c r="G14" s="45" t="n">
        <v>0</v>
      </c>
      <c r="H14" s="45">
        <f>F14*AO14</f>
      </c>
      <c r="I14" s="45">
        <f>F14*AP14</f>
      </c>
      <c r="J14" s="45">
        <f>F14*G14</f>
      </c>
      <c r="K14" s="46" t="s">
        <v>52</v>
      </c>
      <c r="Z14" s="45">
        <f>IF(AQ14="5",BJ14,0)</f>
      </c>
      <c r="AB14" s="45">
        <f>IF(AQ14="1",BH14,0)</f>
      </c>
      <c r="AC14" s="45">
        <f>IF(AQ14="1",BI14,0)</f>
      </c>
      <c r="AD14" s="45">
        <f>IF(AQ14="7",BH14,0)</f>
      </c>
      <c r="AE14" s="45">
        <f>IF(AQ14="7",BI14,0)</f>
      </c>
      <c r="AF14" s="45">
        <f>IF(AQ14="2",BH14,0)</f>
      </c>
      <c r="AG14" s="45">
        <f>IF(AQ14="2",BI14,0)</f>
      </c>
      <c r="AH14" s="45">
        <f>IF(AQ14="0",BJ14,0)</f>
      </c>
      <c r="AI14" s="28" t="s">
        <v>45</v>
      </c>
      <c r="AJ14" s="45">
        <f>IF(AN14=0,J14,0)</f>
      </c>
      <c r="AK14" s="45">
        <f>IF(AN14=12,J14,0)</f>
      </c>
      <c r="AL14" s="45">
        <f>IF(AN14=21,J14,0)</f>
      </c>
      <c r="AN14" s="45" t="n">
        <v>12</v>
      </c>
      <c r="AO14" s="45">
        <f>G14*0.386179479</f>
      </c>
      <c r="AP14" s="45">
        <f>G14*(1-0.386179479)</f>
      </c>
      <c r="AQ14" s="47" t="s">
        <v>53</v>
      </c>
      <c r="AV14" s="45">
        <f>AW14+AX14</f>
      </c>
      <c r="AW14" s="45">
        <f>F14*AO14</f>
      </c>
      <c r="AX14" s="45">
        <f>F14*AP14</f>
      </c>
      <c r="AY14" s="47" t="s">
        <v>54</v>
      </c>
      <c r="AZ14" s="47" t="s">
        <v>55</v>
      </c>
      <c r="BA14" s="28" t="s">
        <v>56</v>
      </c>
      <c r="BC14" s="45">
        <f>AW14+AX14</f>
      </c>
      <c r="BD14" s="45">
        <f>G14/(100-BE14)*100</f>
      </c>
      <c r="BE14" s="45" t="n">
        <v>0</v>
      </c>
      <c r="BF14" s="45">
        <f>14</f>
      </c>
      <c r="BH14" s="45">
        <f>F14*AO14</f>
      </c>
      <c r="BI14" s="45">
        <f>F14*AP14</f>
      </c>
      <c r="BJ14" s="45">
        <f>F14*G14</f>
      </c>
      <c r="BK14" s="45"/>
      <c r="BL14" s="45" t="n">
        <v>721</v>
      </c>
      <c r="BW14" s="45" t="n">
        <v>12</v>
      </c>
      <c r="BX14" s="14" t="s">
        <v>59</v>
      </c>
    </row>
    <row r="15">
      <c r="A15" s="9" t="s">
        <v>60</v>
      </c>
      <c r="B15" s="10" t="s">
        <v>61</v>
      </c>
      <c r="C15" s="14" t="s">
        <v>62</v>
      </c>
      <c r="D15" s="10"/>
      <c r="E15" s="10" t="s">
        <v>51</v>
      </c>
      <c r="F15" s="45" t="n">
        <v>10</v>
      </c>
      <c r="G15" s="45" t="n">
        <v>0</v>
      </c>
      <c r="H15" s="45">
        <f>F15*AO15</f>
      </c>
      <c r="I15" s="45">
        <f>F15*AP15</f>
      </c>
      <c r="J15" s="45">
        <f>F15*G15</f>
      </c>
      <c r="K15" s="46" t="s">
        <v>52</v>
      </c>
      <c r="Z15" s="45">
        <f>IF(AQ15="5",BJ15,0)</f>
      </c>
      <c r="AB15" s="45">
        <f>IF(AQ15="1",BH15,0)</f>
      </c>
      <c r="AC15" s="45">
        <f>IF(AQ15="1",BI15,0)</f>
      </c>
      <c r="AD15" s="45">
        <f>IF(AQ15="7",BH15,0)</f>
      </c>
      <c r="AE15" s="45">
        <f>IF(AQ15="7",BI15,0)</f>
      </c>
      <c r="AF15" s="45">
        <f>IF(AQ15="2",BH15,0)</f>
      </c>
      <c r="AG15" s="45">
        <f>IF(AQ15="2",BI15,0)</f>
      </c>
      <c r="AH15" s="45">
        <f>IF(AQ15="0",BJ15,0)</f>
      </c>
      <c r="AI15" s="28" t="s">
        <v>45</v>
      </c>
      <c r="AJ15" s="45">
        <f>IF(AN15=0,J15,0)</f>
      </c>
      <c r="AK15" s="45">
        <f>IF(AN15=12,J15,0)</f>
      </c>
      <c r="AL15" s="45">
        <f>IF(AN15=21,J15,0)</f>
      </c>
      <c r="AN15" s="45" t="n">
        <v>12</v>
      </c>
      <c r="AO15" s="45">
        <f>G15*0.416586483</f>
      </c>
      <c r="AP15" s="45">
        <f>G15*(1-0.416586483)</f>
      </c>
      <c r="AQ15" s="47" t="s">
        <v>53</v>
      </c>
      <c r="AV15" s="45">
        <f>AW15+AX15</f>
      </c>
      <c r="AW15" s="45">
        <f>F15*AO15</f>
      </c>
      <c r="AX15" s="45">
        <f>F15*AP15</f>
      </c>
      <c r="AY15" s="47" t="s">
        <v>54</v>
      </c>
      <c r="AZ15" s="47" t="s">
        <v>55</v>
      </c>
      <c r="BA15" s="28" t="s">
        <v>56</v>
      </c>
      <c r="BC15" s="45">
        <f>AW15+AX15</f>
      </c>
      <c r="BD15" s="45">
        <f>G15/(100-BE15)*100</f>
      </c>
      <c r="BE15" s="45" t="n">
        <v>0</v>
      </c>
      <c r="BF15" s="45">
        <f>15</f>
      </c>
      <c r="BH15" s="45">
        <f>F15*AO15</f>
      </c>
      <c r="BI15" s="45">
        <f>F15*AP15</f>
      </c>
      <c r="BJ15" s="45">
        <f>F15*G15</f>
      </c>
      <c r="BK15" s="45"/>
      <c r="BL15" s="45" t="n">
        <v>721</v>
      </c>
      <c r="BW15" s="45" t="n">
        <v>12</v>
      </c>
      <c r="BX15" s="14" t="s">
        <v>62</v>
      </c>
    </row>
    <row r="16">
      <c r="A16" s="9" t="s">
        <v>63</v>
      </c>
      <c r="B16" s="10" t="s">
        <v>64</v>
      </c>
      <c r="C16" s="14" t="s">
        <v>65</v>
      </c>
      <c r="D16" s="10"/>
      <c r="E16" s="10" t="s">
        <v>51</v>
      </c>
      <c r="F16" s="45" t="n">
        <v>27</v>
      </c>
      <c r="G16" s="45" t="n">
        <v>0</v>
      </c>
      <c r="H16" s="45">
        <f>F16*AO16</f>
      </c>
      <c r="I16" s="45">
        <f>F16*AP16</f>
      </c>
      <c r="J16" s="45">
        <f>F16*G16</f>
      </c>
      <c r="K16" s="46" t="s">
        <v>52</v>
      </c>
      <c r="Z16" s="45">
        <f>IF(AQ16="5",BJ16,0)</f>
      </c>
      <c r="AB16" s="45">
        <f>IF(AQ16="1",BH16,0)</f>
      </c>
      <c r="AC16" s="45">
        <f>IF(AQ16="1",BI16,0)</f>
      </c>
      <c r="AD16" s="45">
        <f>IF(AQ16="7",BH16,0)</f>
      </c>
      <c r="AE16" s="45">
        <f>IF(AQ16="7",BI16,0)</f>
      </c>
      <c r="AF16" s="45">
        <f>IF(AQ16="2",BH16,0)</f>
      </c>
      <c r="AG16" s="45">
        <f>IF(AQ16="2",BI16,0)</f>
      </c>
      <c r="AH16" s="45">
        <f>IF(AQ16="0",BJ16,0)</f>
      </c>
      <c r="AI16" s="28" t="s">
        <v>45</v>
      </c>
      <c r="AJ16" s="45">
        <f>IF(AN16=0,J16,0)</f>
      </c>
      <c r="AK16" s="45">
        <f>IF(AN16=12,J16,0)</f>
      </c>
      <c r="AL16" s="45">
        <f>IF(AN16=21,J16,0)</f>
      </c>
      <c r="AN16" s="45" t="n">
        <v>12</v>
      </c>
      <c r="AO16" s="45">
        <f>G16*0.369389313</f>
      </c>
      <c r="AP16" s="45">
        <f>G16*(1-0.369389313)</f>
      </c>
      <c r="AQ16" s="47" t="s">
        <v>53</v>
      </c>
      <c r="AV16" s="45">
        <f>AW16+AX16</f>
      </c>
      <c r="AW16" s="45">
        <f>F16*AO16</f>
      </c>
      <c r="AX16" s="45">
        <f>F16*AP16</f>
      </c>
      <c r="AY16" s="47" t="s">
        <v>54</v>
      </c>
      <c r="AZ16" s="47" t="s">
        <v>55</v>
      </c>
      <c r="BA16" s="28" t="s">
        <v>56</v>
      </c>
      <c r="BC16" s="45">
        <f>AW16+AX16</f>
      </c>
      <c r="BD16" s="45">
        <f>G16/(100-BE16)*100</f>
      </c>
      <c r="BE16" s="45" t="n">
        <v>0</v>
      </c>
      <c r="BF16" s="45">
        <f>16</f>
      </c>
      <c r="BH16" s="45">
        <f>F16*AO16</f>
      </c>
      <c r="BI16" s="45">
        <f>F16*AP16</f>
      </c>
      <c r="BJ16" s="45">
        <f>F16*G16</f>
      </c>
      <c r="BK16" s="45"/>
      <c r="BL16" s="45" t="n">
        <v>721</v>
      </c>
      <c r="BW16" s="45" t="n">
        <v>12</v>
      </c>
      <c r="BX16" s="14" t="s">
        <v>65</v>
      </c>
    </row>
    <row r="17">
      <c r="A17" s="9" t="s">
        <v>66</v>
      </c>
      <c r="B17" s="10" t="s">
        <v>67</v>
      </c>
      <c r="C17" s="14" t="s">
        <v>68</v>
      </c>
      <c r="D17" s="10"/>
      <c r="E17" s="10" t="s">
        <v>51</v>
      </c>
      <c r="F17" s="45" t="n">
        <v>89</v>
      </c>
      <c r="G17" s="45" t="n">
        <v>0</v>
      </c>
      <c r="H17" s="45">
        <f>F17*AO17</f>
      </c>
      <c r="I17" s="45">
        <f>F17*AP17</f>
      </c>
      <c r="J17" s="45">
        <f>F17*G17</f>
      </c>
      <c r="K17" s="46" t="s">
        <v>52</v>
      </c>
      <c r="Z17" s="45">
        <f>IF(AQ17="5",BJ17,0)</f>
      </c>
      <c r="AB17" s="45">
        <f>IF(AQ17="1",BH17,0)</f>
      </c>
      <c r="AC17" s="45">
        <f>IF(AQ17="1",BI17,0)</f>
      </c>
      <c r="AD17" s="45">
        <f>IF(AQ17="7",BH17,0)</f>
      </c>
      <c r="AE17" s="45">
        <f>IF(AQ17="7",BI17,0)</f>
      </c>
      <c r="AF17" s="45">
        <f>IF(AQ17="2",BH17,0)</f>
      </c>
      <c r="AG17" s="45">
        <f>IF(AQ17="2",BI17,0)</f>
      </c>
      <c r="AH17" s="45">
        <f>IF(AQ17="0",BJ17,0)</f>
      </c>
      <c r="AI17" s="28" t="s">
        <v>45</v>
      </c>
      <c r="AJ17" s="45">
        <f>IF(AN17=0,J17,0)</f>
      </c>
      <c r="AK17" s="45">
        <f>IF(AN17=12,J17,0)</f>
      </c>
      <c r="AL17" s="45">
        <f>IF(AN17=21,J17,0)</f>
      </c>
      <c r="AN17" s="45" t="n">
        <v>12</v>
      </c>
      <c r="AO17" s="45">
        <f>G17*0.424425727</f>
      </c>
      <c r="AP17" s="45">
        <f>G17*(1-0.424425727)</f>
      </c>
      <c r="AQ17" s="47" t="s">
        <v>53</v>
      </c>
      <c r="AV17" s="45">
        <f>AW17+AX17</f>
      </c>
      <c r="AW17" s="45">
        <f>F17*AO17</f>
      </c>
      <c r="AX17" s="45">
        <f>F17*AP17</f>
      </c>
      <c r="AY17" s="47" t="s">
        <v>54</v>
      </c>
      <c r="AZ17" s="47" t="s">
        <v>55</v>
      </c>
      <c r="BA17" s="28" t="s">
        <v>56</v>
      </c>
      <c r="BC17" s="45">
        <f>AW17+AX17</f>
      </c>
      <c r="BD17" s="45">
        <f>G17/(100-BE17)*100</f>
      </c>
      <c r="BE17" s="45" t="n">
        <v>0</v>
      </c>
      <c r="BF17" s="45">
        <f>17</f>
      </c>
      <c r="BH17" s="45">
        <f>F17*AO17</f>
      </c>
      <c r="BI17" s="45">
        <f>F17*AP17</f>
      </c>
      <c r="BJ17" s="45">
        <f>F17*G17</f>
      </c>
      <c r="BK17" s="45"/>
      <c r="BL17" s="45" t="n">
        <v>721</v>
      </c>
      <c r="BW17" s="45" t="n">
        <v>12</v>
      </c>
      <c r="BX17" s="14" t="s">
        <v>68</v>
      </c>
    </row>
    <row r="18">
      <c r="A18" s="9" t="s">
        <v>69</v>
      </c>
      <c r="B18" s="10" t="s">
        <v>70</v>
      </c>
      <c r="C18" s="14" t="s">
        <v>71</v>
      </c>
      <c r="D18" s="10"/>
      <c r="E18" s="10" t="s">
        <v>51</v>
      </c>
      <c r="F18" s="45" t="n">
        <v>26</v>
      </c>
      <c r="G18" s="45" t="n">
        <v>0</v>
      </c>
      <c r="H18" s="45">
        <f>F18*AO18</f>
      </c>
      <c r="I18" s="45">
        <f>F18*AP18</f>
      </c>
      <c r="J18" s="45">
        <f>F18*G18</f>
      </c>
      <c r="K18" s="46" t="s">
        <v>52</v>
      </c>
      <c r="Z18" s="45">
        <f>IF(AQ18="5",BJ18,0)</f>
      </c>
      <c r="AB18" s="45">
        <f>IF(AQ18="1",BH18,0)</f>
      </c>
      <c r="AC18" s="45">
        <f>IF(AQ18="1",BI18,0)</f>
      </c>
      <c r="AD18" s="45">
        <f>IF(AQ18="7",BH18,0)</f>
      </c>
      <c r="AE18" s="45">
        <f>IF(AQ18="7",BI18,0)</f>
      </c>
      <c r="AF18" s="45">
        <f>IF(AQ18="2",BH18,0)</f>
      </c>
      <c r="AG18" s="45">
        <f>IF(AQ18="2",BI18,0)</f>
      </c>
      <c r="AH18" s="45">
        <f>IF(AQ18="0",BJ18,0)</f>
      </c>
      <c r="AI18" s="28" t="s">
        <v>45</v>
      </c>
      <c r="AJ18" s="45">
        <f>IF(AN18=0,J18,0)</f>
      </c>
      <c r="AK18" s="45">
        <f>IF(AN18=12,J18,0)</f>
      </c>
      <c r="AL18" s="45">
        <f>IF(AN18=21,J18,0)</f>
      </c>
      <c r="AN18" s="45" t="n">
        <v>12</v>
      </c>
      <c r="AO18" s="45">
        <f>G18*0.527162447</f>
      </c>
      <c r="AP18" s="45">
        <f>G18*(1-0.527162447)</f>
      </c>
      <c r="AQ18" s="47" t="s">
        <v>53</v>
      </c>
      <c r="AV18" s="45">
        <f>AW18+AX18</f>
      </c>
      <c r="AW18" s="45">
        <f>F18*AO18</f>
      </c>
      <c r="AX18" s="45">
        <f>F18*AP18</f>
      </c>
      <c r="AY18" s="47" t="s">
        <v>54</v>
      </c>
      <c r="AZ18" s="47" t="s">
        <v>55</v>
      </c>
      <c r="BA18" s="28" t="s">
        <v>56</v>
      </c>
      <c r="BC18" s="45">
        <f>AW18+AX18</f>
      </c>
      <c r="BD18" s="45">
        <f>G18/(100-BE18)*100</f>
      </c>
      <c r="BE18" s="45" t="n">
        <v>0</v>
      </c>
      <c r="BF18" s="45">
        <f>18</f>
      </c>
      <c r="BH18" s="45">
        <f>F18*AO18</f>
      </c>
      <c r="BI18" s="45">
        <f>F18*AP18</f>
      </c>
      <c r="BJ18" s="45">
        <f>F18*G18</f>
      </c>
      <c r="BK18" s="45"/>
      <c r="BL18" s="45" t="n">
        <v>721</v>
      </c>
      <c r="BW18" s="45" t="n">
        <v>12</v>
      </c>
      <c r="BX18" s="14" t="s">
        <v>71</v>
      </c>
    </row>
    <row r="19">
      <c r="A19" s="9" t="s">
        <v>53</v>
      </c>
      <c r="B19" s="10" t="s">
        <v>72</v>
      </c>
      <c r="C19" s="14" t="s">
        <v>73</v>
      </c>
      <c r="D19" s="10"/>
      <c r="E19" s="10" t="s">
        <v>51</v>
      </c>
      <c r="F19" s="45" t="n">
        <v>46</v>
      </c>
      <c r="G19" s="45" t="n">
        <v>0</v>
      </c>
      <c r="H19" s="45">
        <f>F19*AO19</f>
      </c>
      <c r="I19" s="45">
        <f>F19*AP19</f>
      </c>
      <c r="J19" s="45">
        <f>F19*G19</f>
      </c>
      <c r="K19" s="46" t="s">
        <v>52</v>
      </c>
      <c r="Z19" s="45">
        <f>IF(AQ19="5",BJ19,0)</f>
      </c>
      <c r="AB19" s="45">
        <f>IF(AQ19="1",BH19,0)</f>
      </c>
      <c r="AC19" s="45">
        <f>IF(AQ19="1",BI19,0)</f>
      </c>
      <c r="AD19" s="45">
        <f>IF(AQ19="7",BH19,0)</f>
      </c>
      <c r="AE19" s="45">
        <f>IF(AQ19="7",BI19,0)</f>
      </c>
      <c r="AF19" s="45">
        <f>IF(AQ19="2",BH19,0)</f>
      </c>
      <c r="AG19" s="45">
        <f>IF(AQ19="2",BI19,0)</f>
      </c>
      <c r="AH19" s="45">
        <f>IF(AQ19="0",BJ19,0)</f>
      </c>
      <c r="AI19" s="28" t="s">
        <v>45</v>
      </c>
      <c r="AJ19" s="45">
        <f>IF(AN19=0,J19,0)</f>
      </c>
      <c r="AK19" s="45">
        <f>IF(AN19=12,J19,0)</f>
      </c>
      <c r="AL19" s="45">
        <f>IF(AN19=21,J19,0)</f>
      </c>
      <c r="AN19" s="45" t="n">
        <v>12</v>
      </c>
      <c r="AO19" s="45">
        <f>G19*0.388034529</f>
      </c>
      <c r="AP19" s="45">
        <f>G19*(1-0.388034529)</f>
      </c>
      <c r="AQ19" s="47" t="s">
        <v>53</v>
      </c>
      <c r="AV19" s="45">
        <f>AW19+AX19</f>
      </c>
      <c r="AW19" s="45">
        <f>F19*AO19</f>
      </c>
      <c r="AX19" s="45">
        <f>F19*AP19</f>
      </c>
      <c r="AY19" s="47" t="s">
        <v>54</v>
      </c>
      <c r="AZ19" s="47" t="s">
        <v>55</v>
      </c>
      <c r="BA19" s="28" t="s">
        <v>56</v>
      </c>
      <c r="BC19" s="45">
        <f>AW19+AX19</f>
      </c>
      <c r="BD19" s="45">
        <f>G19/(100-BE19)*100</f>
      </c>
      <c r="BE19" s="45" t="n">
        <v>0</v>
      </c>
      <c r="BF19" s="45">
        <f>19</f>
      </c>
      <c r="BH19" s="45">
        <f>F19*AO19</f>
      </c>
      <c r="BI19" s="45">
        <f>F19*AP19</f>
      </c>
      <c r="BJ19" s="45">
        <f>F19*G19</f>
      </c>
      <c r="BK19" s="45"/>
      <c r="BL19" s="45" t="n">
        <v>721</v>
      </c>
      <c r="BW19" s="45" t="n">
        <v>12</v>
      </c>
      <c r="BX19" s="14" t="s">
        <v>73</v>
      </c>
    </row>
    <row r="20">
      <c r="A20" s="9" t="s">
        <v>74</v>
      </c>
      <c r="B20" s="10" t="s">
        <v>75</v>
      </c>
      <c r="C20" s="14" t="s">
        <v>76</v>
      </c>
      <c r="D20" s="10"/>
      <c r="E20" s="10" t="s">
        <v>51</v>
      </c>
      <c r="F20" s="45" t="n">
        <v>82</v>
      </c>
      <c r="G20" s="45" t="n">
        <v>0</v>
      </c>
      <c r="H20" s="45">
        <f>F20*AO20</f>
      </c>
      <c r="I20" s="45">
        <f>F20*AP20</f>
      </c>
      <c r="J20" s="45">
        <f>F20*G20</f>
      </c>
      <c r="K20" s="46" t="s">
        <v>52</v>
      </c>
      <c r="Z20" s="45">
        <f>IF(AQ20="5",BJ20,0)</f>
      </c>
      <c r="AB20" s="45">
        <f>IF(AQ20="1",BH20,0)</f>
      </c>
      <c r="AC20" s="45">
        <f>IF(AQ20="1",BI20,0)</f>
      </c>
      <c r="AD20" s="45">
        <f>IF(AQ20="7",BH20,0)</f>
      </c>
      <c r="AE20" s="45">
        <f>IF(AQ20="7",BI20,0)</f>
      </c>
      <c r="AF20" s="45">
        <f>IF(AQ20="2",BH20,0)</f>
      </c>
      <c r="AG20" s="45">
        <f>IF(AQ20="2",BI20,0)</f>
      </c>
      <c r="AH20" s="45">
        <f>IF(AQ20="0",BJ20,0)</f>
      </c>
      <c r="AI20" s="28" t="s">
        <v>45</v>
      </c>
      <c r="AJ20" s="45">
        <f>IF(AN20=0,J20,0)</f>
      </c>
      <c r="AK20" s="45">
        <f>IF(AN20=12,J20,0)</f>
      </c>
      <c r="AL20" s="45">
        <f>IF(AN20=21,J20,0)</f>
      </c>
      <c r="AN20" s="45" t="n">
        <v>12</v>
      </c>
      <c r="AO20" s="45">
        <f>G20*0.477365967</f>
      </c>
      <c r="AP20" s="45">
        <f>G20*(1-0.477365967)</f>
      </c>
      <c r="AQ20" s="47" t="s">
        <v>53</v>
      </c>
      <c r="AV20" s="45">
        <f>AW20+AX20</f>
      </c>
      <c r="AW20" s="45">
        <f>F20*AO20</f>
      </c>
      <c r="AX20" s="45">
        <f>F20*AP20</f>
      </c>
      <c r="AY20" s="47" t="s">
        <v>54</v>
      </c>
      <c r="AZ20" s="47" t="s">
        <v>55</v>
      </c>
      <c r="BA20" s="28" t="s">
        <v>56</v>
      </c>
      <c r="BC20" s="45">
        <f>AW20+AX20</f>
      </c>
      <c r="BD20" s="45">
        <f>G20/(100-BE20)*100</f>
      </c>
      <c r="BE20" s="45" t="n">
        <v>0</v>
      </c>
      <c r="BF20" s="45">
        <f>20</f>
      </c>
      <c r="BH20" s="45">
        <f>F20*AO20</f>
      </c>
      <c r="BI20" s="45">
        <f>F20*AP20</f>
      </c>
      <c r="BJ20" s="45">
        <f>F20*G20</f>
      </c>
      <c r="BK20" s="45"/>
      <c r="BL20" s="45" t="n">
        <v>721</v>
      </c>
      <c r="BW20" s="45" t="n">
        <v>12</v>
      </c>
      <c r="BX20" s="14" t="s">
        <v>76</v>
      </c>
    </row>
    <row r="21">
      <c r="A21" s="9" t="s">
        <v>77</v>
      </c>
      <c r="B21" s="10" t="s">
        <v>78</v>
      </c>
      <c r="C21" s="14" t="s">
        <v>79</v>
      </c>
      <c r="D21" s="10"/>
      <c r="E21" s="10" t="s">
        <v>51</v>
      </c>
      <c r="F21" s="45" t="n">
        <v>20</v>
      </c>
      <c r="G21" s="45" t="n">
        <v>0</v>
      </c>
      <c r="H21" s="45">
        <f>F21*AO21</f>
      </c>
      <c r="I21" s="45">
        <f>F21*AP21</f>
      </c>
      <c r="J21" s="45">
        <f>F21*G21</f>
      </c>
      <c r="K21" s="46" t="s">
        <v>52</v>
      </c>
      <c r="Z21" s="45">
        <f>IF(AQ21="5",BJ21,0)</f>
      </c>
      <c r="AB21" s="45">
        <f>IF(AQ21="1",BH21,0)</f>
      </c>
      <c r="AC21" s="45">
        <f>IF(AQ21="1",BI21,0)</f>
      </c>
      <c r="AD21" s="45">
        <f>IF(AQ21="7",BH21,0)</f>
      </c>
      <c r="AE21" s="45">
        <f>IF(AQ21="7",BI21,0)</f>
      </c>
      <c r="AF21" s="45">
        <f>IF(AQ21="2",BH21,0)</f>
      </c>
      <c r="AG21" s="45">
        <f>IF(AQ21="2",BI21,0)</f>
      </c>
      <c r="AH21" s="45">
        <f>IF(AQ21="0",BJ21,0)</f>
      </c>
      <c r="AI21" s="28" t="s">
        <v>45</v>
      </c>
      <c r="AJ21" s="45">
        <f>IF(AN21=0,J21,0)</f>
      </c>
      <c r="AK21" s="45">
        <f>IF(AN21=12,J21,0)</f>
      </c>
      <c r="AL21" s="45">
        <f>IF(AN21=21,J21,0)</f>
      </c>
      <c r="AN21" s="45" t="n">
        <v>12</v>
      </c>
      <c r="AO21" s="45">
        <f>G21*0.615451713</f>
      </c>
      <c r="AP21" s="45">
        <f>G21*(1-0.615451713)</f>
      </c>
      <c r="AQ21" s="47" t="s">
        <v>53</v>
      </c>
      <c r="AV21" s="45">
        <f>AW21+AX21</f>
      </c>
      <c r="AW21" s="45">
        <f>F21*AO21</f>
      </c>
      <c r="AX21" s="45">
        <f>F21*AP21</f>
      </c>
      <c r="AY21" s="47" t="s">
        <v>54</v>
      </c>
      <c r="AZ21" s="47" t="s">
        <v>55</v>
      </c>
      <c r="BA21" s="28" t="s">
        <v>56</v>
      </c>
      <c r="BC21" s="45">
        <f>AW21+AX21</f>
      </c>
      <c r="BD21" s="45">
        <f>G21/(100-BE21)*100</f>
      </c>
      <c r="BE21" s="45" t="n">
        <v>0</v>
      </c>
      <c r="BF21" s="45">
        <f>21</f>
      </c>
      <c r="BH21" s="45">
        <f>F21*AO21</f>
      </c>
      <c r="BI21" s="45">
        <f>F21*AP21</f>
      </c>
      <c r="BJ21" s="45">
        <f>F21*G21</f>
      </c>
      <c r="BK21" s="45"/>
      <c r="BL21" s="45" t="n">
        <v>721</v>
      </c>
      <c r="BW21" s="45" t="n">
        <v>12</v>
      </c>
      <c r="BX21" s="14" t="s">
        <v>79</v>
      </c>
    </row>
    <row r="22">
      <c r="A22" s="9" t="s">
        <v>80</v>
      </c>
      <c r="B22" s="10" t="s">
        <v>81</v>
      </c>
      <c r="C22" s="14" t="s">
        <v>82</v>
      </c>
      <c r="D22" s="10"/>
      <c r="E22" s="10" t="s">
        <v>51</v>
      </c>
      <c r="F22" s="45" t="n">
        <v>35</v>
      </c>
      <c r="G22" s="45" t="n">
        <v>0</v>
      </c>
      <c r="H22" s="45">
        <f>F22*AO22</f>
      </c>
      <c r="I22" s="45">
        <f>F22*AP22</f>
      </c>
      <c r="J22" s="45">
        <f>F22*G22</f>
      </c>
      <c r="K22" s="46" t="s">
        <v>52</v>
      </c>
      <c r="Z22" s="45">
        <f>IF(AQ22="5",BJ22,0)</f>
      </c>
      <c r="AB22" s="45">
        <f>IF(AQ22="1",BH22,0)</f>
      </c>
      <c r="AC22" s="45">
        <f>IF(AQ22="1",BI22,0)</f>
      </c>
      <c r="AD22" s="45">
        <f>IF(AQ22="7",BH22,0)</f>
      </c>
      <c r="AE22" s="45">
        <f>IF(AQ22="7",BI22,0)</f>
      </c>
      <c r="AF22" s="45">
        <f>IF(AQ22="2",BH22,0)</f>
      </c>
      <c r="AG22" s="45">
        <f>IF(AQ22="2",BI22,0)</f>
      </c>
      <c r="AH22" s="45">
        <f>IF(AQ22="0",BJ22,0)</f>
      </c>
      <c r="AI22" s="28" t="s">
        <v>45</v>
      </c>
      <c r="AJ22" s="45">
        <f>IF(AN22=0,J22,0)</f>
      </c>
      <c r="AK22" s="45">
        <f>IF(AN22=12,J22,0)</f>
      </c>
      <c r="AL22" s="45">
        <f>IF(AN22=21,J22,0)</f>
      </c>
      <c r="AN22" s="45" t="n">
        <v>12</v>
      </c>
      <c r="AO22" s="45">
        <f>G22*0.690446761</f>
      </c>
      <c r="AP22" s="45">
        <f>G22*(1-0.690446761)</f>
      </c>
      <c r="AQ22" s="47" t="s">
        <v>53</v>
      </c>
      <c r="AV22" s="45">
        <f>AW22+AX22</f>
      </c>
      <c r="AW22" s="45">
        <f>F22*AO22</f>
      </c>
      <c r="AX22" s="45">
        <f>F22*AP22</f>
      </c>
      <c r="AY22" s="47" t="s">
        <v>54</v>
      </c>
      <c r="AZ22" s="47" t="s">
        <v>55</v>
      </c>
      <c r="BA22" s="28" t="s">
        <v>56</v>
      </c>
      <c r="BC22" s="45">
        <f>AW22+AX22</f>
      </c>
      <c r="BD22" s="45">
        <f>G22/(100-BE22)*100</f>
      </c>
      <c r="BE22" s="45" t="n">
        <v>0</v>
      </c>
      <c r="BF22" s="45">
        <f>22</f>
      </c>
      <c r="BH22" s="45">
        <f>F22*AO22</f>
      </c>
      <c r="BI22" s="45">
        <f>F22*AP22</f>
      </c>
      <c r="BJ22" s="45">
        <f>F22*G22</f>
      </c>
      <c r="BK22" s="45"/>
      <c r="BL22" s="45" t="n">
        <v>721</v>
      </c>
      <c r="BW22" s="45" t="n">
        <v>12</v>
      </c>
      <c r="BX22" s="14" t="s">
        <v>82</v>
      </c>
    </row>
    <row r="23">
      <c r="A23" s="9" t="s">
        <v>83</v>
      </c>
      <c r="B23" s="10" t="s">
        <v>84</v>
      </c>
      <c r="C23" s="14" t="s">
        <v>85</v>
      </c>
      <c r="D23" s="10"/>
      <c r="E23" s="10" t="s">
        <v>51</v>
      </c>
      <c r="F23" s="45" t="n">
        <v>16</v>
      </c>
      <c r="G23" s="45" t="n">
        <v>0</v>
      </c>
      <c r="H23" s="45">
        <f>F23*AO23</f>
      </c>
      <c r="I23" s="45">
        <f>F23*AP23</f>
      </c>
      <c r="J23" s="45">
        <f>F23*G23</f>
      </c>
      <c r="K23" s="46" t="s">
        <v>45</v>
      </c>
      <c r="Z23" s="45">
        <f>IF(AQ23="5",BJ23,0)</f>
      </c>
      <c r="AB23" s="45">
        <f>IF(AQ23="1",BH23,0)</f>
      </c>
      <c r="AC23" s="45">
        <f>IF(AQ23="1",BI23,0)</f>
      </c>
      <c r="AD23" s="45">
        <f>IF(AQ23="7",BH23,0)</f>
      </c>
      <c r="AE23" s="45">
        <f>IF(AQ23="7",BI23,0)</f>
      </c>
      <c r="AF23" s="45">
        <f>IF(AQ23="2",BH23,0)</f>
      </c>
      <c r="AG23" s="45">
        <f>IF(AQ23="2",BI23,0)</f>
      </c>
      <c r="AH23" s="45">
        <f>IF(AQ23="0",BJ23,0)</f>
      </c>
      <c r="AI23" s="28" t="s">
        <v>45</v>
      </c>
      <c r="AJ23" s="45">
        <f>IF(AN23=0,J23,0)</f>
      </c>
      <c r="AK23" s="45">
        <f>IF(AN23=12,J23,0)</f>
      </c>
      <c r="AL23" s="45">
        <f>IF(AN23=21,J23,0)</f>
      </c>
      <c r="AN23" s="45" t="n">
        <v>12</v>
      </c>
      <c r="AO23" s="45">
        <f>G23*0.653061224</f>
      </c>
      <c r="AP23" s="45">
        <f>G23*(1-0.653061224)</f>
      </c>
      <c r="AQ23" s="47" t="s">
        <v>53</v>
      </c>
      <c r="AV23" s="45">
        <f>AW23+AX23</f>
      </c>
      <c r="AW23" s="45">
        <f>F23*AO23</f>
      </c>
      <c r="AX23" s="45">
        <f>F23*AP23</f>
      </c>
      <c r="AY23" s="47" t="s">
        <v>54</v>
      </c>
      <c r="AZ23" s="47" t="s">
        <v>55</v>
      </c>
      <c r="BA23" s="28" t="s">
        <v>56</v>
      </c>
      <c r="BC23" s="45">
        <f>AW23+AX23</f>
      </c>
      <c r="BD23" s="45">
        <f>G23/(100-BE23)*100</f>
      </c>
      <c r="BE23" s="45" t="n">
        <v>0</v>
      </c>
      <c r="BF23" s="45">
        <f>23</f>
      </c>
      <c r="BH23" s="45">
        <f>F23*AO23</f>
      </c>
      <c r="BI23" s="45">
        <f>F23*AP23</f>
      </c>
      <c r="BJ23" s="45">
        <f>F23*G23</f>
      </c>
      <c r="BK23" s="45"/>
      <c r="BL23" s="45" t="n">
        <v>721</v>
      </c>
      <c r="BW23" s="45" t="n">
        <v>12</v>
      </c>
      <c r="BX23" s="14" t="s">
        <v>85</v>
      </c>
    </row>
    <row r="24">
      <c r="A24" s="9" t="s">
        <v>86</v>
      </c>
      <c r="B24" s="10" t="s">
        <v>87</v>
      </c>
      <c r="C24" s="14" t="s">
        <v>88</v>
      </c>
      <c r="D24" s="10"/>
      <c r="E24" s="10" t="s">
        <v>51</v>
      </c>
      <c r="F24" s="45" t="n">
        <v>92</v>
      </c>
      <c r="G24" s="45" t="n">
        <v>0</v>
      </c>
      <c r="H24" s="45">
        <f>F24*AO24</f>
      </c>
      <c r="I24" s="45">
        <f>F24*AP24</f>
      </c>
      <c r="J24" s="45">
        <f>F24*G24</f>
      </c>
      <c r="K24" s="46" t="s">
        <v>45</v>
      </c>
      <c r="Z24" s="45">
        <f>IF(AQ24="5",BJ24,0)</f>
      </c>
      <c r="AB24" s="45">
        <f>IF(AQ24="1",BH24,0)</f>
      </c>
      <c r="AC24" s="45">
        <f>IF(AQ24="1",BI24,0)</f>
      </c>
      <c r="AD24" s="45">
        <f>IF(AQ24="7",BH24,0)</f>
      </c>
      <c r="AE24" s="45">
        <f>IF(AQ24="7",BI24,0)</f>
      </c>
      <c r="AF24" s="45">
        <f>IF(AQ24="2",BH24,0)</f>
      </c>
      <c r="AG24" s="45">
        <f>IF(AQ24="2",BI24,0)</f>
      </c>
      <c r="AH24" s="45">
        <f>IF(AQ24="0",BJ24,0)</f>
      </c>
      <c r="AI24" s="28" t="s">
        <v>45</v>
      </c>
      <c r="AJ24" s="45">
        <f>IF(AN24=0,J24,0)</f>
      </c>
      <c r="AK24" s="45">
        <f>IF(AN24=12,J24,0)</f>
      </c>
      <c r="AL24" s="45">
        <f>IF(AN24=21,J24,0)</f>
      </c>
      <c r="AN24" s="45" t="n">
        <v>12</v>
      </c>
      <c r="AO24" s="45">
        <f>G24*0.813186813</f>
      </c>
      <c r="AP24" s="45">
        <f>G24*(1-0.813186813)</f>
      </c>
      <c r="AQ24" s="47" t="s">
        <v>53</v>
      </c>
      <c r="AV24" s="45">
        <f>AW24+AX24</f>
      </c>
      <c r="AW24" s="45">
        <f>F24*AO24</f>
      </c>
      <c r="AX24" s="45">
        <f>F24*AP24</f>
      </c>
      <c r="AY24" s="47" t="s">
        <v>54</v>
      </c>
      <c r="AZ24" s="47" t="s">
        <v>55</v>
      </c>
      <c r="BA24" s="28" t="s">
        <v>56</v>
      </c>
      <c r="BC24" s="45">
        <f>AW24+AX24</f>
      </c>
      <c r="BD24" s="45">
        <f>G24/(100-BE24)*100</f>
      </c>
      <c r="BE24" s="45" t="n">
        <v>0</v>
      </c>
      <c r="BF24" s="45">
        <f>24</f>
      </c>
      <c r="BH24" s="45">
        <f>F24*AO24</f>
      </c>
      <c r="BI24" s="45">
        <f>F24*AP24</f>
      </c>
      <c r="BJ24" s="45">
        <f>F24*G24</f>
      </c>
      <c r="BK24" s="45"/>
      <c r="BL24" s="45" t="n">
        <v>721</v>
      </c>
      <c r="BW24" s="45" t="n">
        <v>12</v>
      </c>
      <c r="BX24" s="14" t="s">
        <v>88</v>
      </c>
    </row>
    <row r="25">
      <c r="A25" s="9" t="s">
        <v>89</v>
      </c>
      <c r="B25" s="10" t="s">
        <v>90</v>
      </c>
      <c r="C25" s="14" t="s">
        <v>91</v>
      </c>
      <c r="D25" s="10"/>
      <c r="E25" s="10" t="s">
        <v>51</v>
      </c>
      <c r="F25" s="45" t="n">
        <v>145</v>
      </c>
      <c r="G25" s="45" t="n">
        <v>0</v>
      </c>
      <c r="H25" s="45">
        <f>F25*AO25</f>
      </c>
      <c r="I25" s="45">
        <f>F25*AP25</f>
      </c>
      <c r="J25" s="45">
        <f>F25*G25</f>
      </c>
      <c r="K25" s="46" t="s">
        <v>45</v>
      </c>
      <c r="Z25" s="45">
        <f>IF(AQ25="5",BJ25,0)</f>
      </c>
      <c r="AB25" s="45">
        <f>IF(AQ25="1",BH25,0)</f>
      </c>
      <c r="AC25" s="45">
        <f>IF(AQ25="1",BI25,0)</f>
      </c>
      <c r="AD25" s="45">
        <f>IF(AQ25="7",BH25,0)</f>
      </c>
      <c r="AE25" s="45">
        <f>IF(AQ25="7",BI25,0)</f>
      </c>
      <c r="AF25" s="45">
        <f>IF(AQ25="2",BH25,0)</f>
      </c>
      <c r="AG25" s="45">
        <f>IF(AQ25="2",BI25,0)</f>
      </c>
      <c r="AH25" s="45">
        <f>IF(AQ25="0",BJ25,0)</f>
      </c>
      <c r="AI25" s="28" t="s">
        <v>45</v>
      </c>
      <c r="AJ25" s="45">
        <f>IF(AN25=0,J25,0)</f>
      </c>
      <c r="AK25" s="45">
        <f>IF(AN25=12,J25,0)</f>
      </c>
      <c r="AL25" s="45">
        <f>IF(AN25=21,J25,0)</f>
      </c>
      <c r="AN25" s="45" t="n">
        <v>12</v>
      </c>
      <c r="AO25" s="45">
        <f>G25*0.806122449</f>
      </c>
      <c r="AP25" s="45">
        <f>G25*(1-0.806122449)</f>
      </c>
      <c r="AQ25" s="47" t="s">
        <v>53</v>
      </c>
      <c r="AV25" s="45">
        <f>AW25+AX25</f>
      </c>
      <c r="AW25" s="45">
        <f>F25*AO25</f>
      </c>
      <c r="AX25" s="45">
        <f>F25*AP25</f>
      </c>
      <c r="AY25" s="47" t="s">
        <v>54</v>
      </c>
      <c r="AZ25" s="47" t="s">
        <v>55</v>
      </c>
      <c r="BA25" s="28" t="s">
        <v>56</v>
      </c>
      <c r="BC25" s="45">
        <f>AW25+AX25</f>
      </c>
      <c r="BD25" s="45">
        <f>G25/(100-BE25)*100</f>
      </c>
      <c r="BE25" s="45" t="n">
        <v>0</v>
      </c>
      <c r="BF25" s="45">
        <f>25</f>
      </c>
      <c r="BH25" s="45">
        <f>F25*AO25</f>
      </c>
      <c r="BI25" s="45">
        <f>F25*AP25</f>
      </c>
      <c r="BJ25" s="45">
        <f>F25*G25</f>
      </c>
      <c r="BK25" s="45"/>
      <c r="BL25" s="45" t="n">
        <v>721</v>
      </c>
      <c r="BW25" s="45" t="n">
        <v>12</v>
      </c>
      <c r="BX25" s="14" t="s">
        <v>91</v>
      </c>
    </row>
    <row r="26">
      <c r="A26" s="9" t="s">
        <v>92</v>
      </c>
      <c r="B26" s="10" t="s">
        <v>93</v>
      </c>
      <c r="C26" s="14" t="s">
        <v>94</v>
      </c>
      <c r="D26" s="10"/>
      <c r="E26" s="10" t="s">
        <v>51</v>
      </c>
      <c r="F26" s="45" t="n">
        <v>155</v>
      </c>
      <c r="G26" s="45" t="n">
        <v>0</v>
      </c>
      <c r="H26" s="45">
        <f>F26*AO26</f>
      </c>
      <c r="I26" s="45">
        <f>F26*AP26</f>
      </c>
      <c r="J26" s="45">
        <f>F26*G26</f>
      </c>
      <c r="K26" s="46" t="s">
        <v>45</v>
      </c>
      <c r="Z26" s="45">
        <f>IF(AQ26="5",BJ26,0)</f>
      </c>
      <c r="AB26" s="45">
        <f>IF(AQ26="1",BH26,0)</f>
      </c>
      <c r="AC26" s="45">
        <f>IF(AQ26="1",BI26,0)</f>
      </c>
      <c r="AD26" s="45">
        <f>IF(AQ26="7",BH26,0)</f>
      </c>
      <c r="AE26" s="45">
        <f>IF(AQ26="7",BI26,0)</f>
      </c>
      <c r="AF26" s="45">
        <f>IF(AQ26="2",BH26,0)</f>
      </c>
      <c r="AG26" s="45">
        <f>IF(AQ26="2",BI26,0)</f>
      </c>
      <c r="AH26" s="45">
        <f>IF(AQ26="0",BJ26,0)</f>
      </c>
      <c r="AI26" s="28" t="s">
        <v>45</v>
      </c>
      <c r="AJ26" s="45">
        <f>IF(AN26=0,J26,0)</f>
      </c>
      <c r="AK26" s="45">
        <f>IF(AN26=12,J26,0)</f>
      </c>
      <c r="AL26" s="45">
        <f>IF(AN26=21,J26,0)</f>
      </c>
      <c r="AN26" s="45" t="n">
        <v>12</v>
      </c>
      <c r="AO26" s="45">
        <f>G26*0.822429907</f>
      </c>
      <c r="AP26" s="45">
        <f>G26*(1-0.822429907)</f>
      </c>
      <c r="AQ26" s="47" t="s">
        <v>53</v>
      </c>
      <c r="AV26" s="45">
        <f>AW26+AX26</f>
      </c>
      <c r="AW26" s="45">
        <f>F26*AO26</f>
      </c>
      <c r="AX26" s="45">
        <f>F26*AP26</f>
      </c>
      <c r="AY26" s="47" t="s">
        <v>54</v>
      </c>
      <c r="AZ26" s="47" t="s">
        <v>55</v>
      </c>
      <c r="BA26" s="28" t="s">
        <v>56</v>
      </c>
      <c r="BC26" s="45">
        <f>AW26+AX26</f>
      </c>
      <c r="BD26" s="45">
        <f>G26/(100-BE26)*100</f>
      </c>
      <c r="BE26" s="45" t="n">
        <v>0</v>
      </c>
      <c r="BF26" s="45">
        <f>26</f>
      </c>
      <c r="BH26" s="45">
        <f>F26*AO26</f>
      </c>
      <c r="BI26" s="45">
        <f>F26*AP26</f>
      </c>
      <c r="BJ26" s="45">
        <f>F26*G26</f>
      </c>
      <c r="BK26" s="45"/>
      <c r="BL26" s="45" t="n">
        <v>721</v>
      </c>
      <c r="BW26" s="45" t="n">
        <v>12</v>
      </c>
      <c r="BX26" s="14" t="s">
        <v>94</v>
      </c>
    </row>
    <row r="27">
      <c r="A27" s="9" t="s">
        <v>95</v>
      </c>
      <c r="B27" s="10" t="s">
        <v>96</v>
      </c>
      <c r="C27" s="14" t="s">
        <v>97</v>
      </c>
      <c r="D27" s="10"/>
      <c r="E27" s="10" t="s">
        <v>51</v>
      </c>
      <c r="F27" s="45" t="n">
        <v>35</v>
      </c>
      <c r="G27" s="45" t="n">
        <v>0</v>
      </c>
      <c r="H27" s="45">
        <f>F27*AO27</f>
      </c>
      <c r="I27" s="45">
        <f>F27*AP27</f>
      </c>
      <c r="J27" s="45">
        <f>F27*G27</f>
      </c>
      <c r="K27" s="46" t="s">
        <v>45</v>
      </c>
      <c r="Z27" s="45">
        <f>IF(AQ27="5",BJ27,0)</f>
      </c>
      <c r="AB27" s="45">
        <f>IF(AQ27="1",BH27,0)</f>
      </c>
      <c r="AC27" s="45">
        <f>IF(AQ27="1",BI27,0)</f>
      </c>
      <c r="AD27" s="45">
        <f>IF(AQ27="7",BH27,0)</f>
      </c>
      <c r="AE27" s="45">
        <f>IF(AQ27="7",BI27,0)</f>
      </c>
      <c r="AF27" s="45">
        <f>IF(AQ27="2",BH27,0)</f>
      </c>
      <c r="AG27" s="45">
        <f>IF(AQ27="2",BI27,0)</f>
      </c>
      <c r="AH27" s="45">
        <f>IF(AQ27="0",BJ27,0)</f>
      </c>
      <c r="AI27" s="28" t="s">
        <v>45</v>
      </c>
      <c r="AJ27" s="45">
        <f>IF(AN27=0,J27,0)</f>
      </c>
      <c r="AK27" s="45">
        <f>IF(AN27=12,J27,0)</f>
      </c>
      <c r="AL27" s="45">
        <f>IF(AN27=21,J27,0)</f>
      </c>
      <c r="AN27" s="45" t="n">
        <v>12</v>
      </c>
      <c r="AO27" s="45">
        <f>G27*0.807017544</f>
      </c>
      <c r="AP27" s="45">
        <f>G27*(1-0.807017544)</f>
      </c>
      <c r="AQ27" s="47" t="s">
        <v>53</v>
      </c>
      <c r="AV27" s="45">
        <f>AW27+AX27</f>
      </c>
      <c r="AW27" s="45">
        <f>F27*AO27</f>
      </c>
      <c r="AX27" s="45">
        <f>F27*AP27</f>
      </c>
      <c r="AY27" s="47" t="s">
        <v>54</v>
      </c>
      <c r="AZ27" s="47" t="s">
        <v>55</v>
      </c>
      <c r="BA27" s="28" t="s">
        <v>56</v>
      </c>
      <c r="BC27" s="45">
        <f>AW27+AX27</f>
      </c>
      <c r="BD27" s="45">
        <f>G27/(100-BE27)*100</f>
      </c>
      <c r="BE27" s="45" t="n">
        <v>0</v>
      </c>
      <c r="BF27" s="45">
        <f>27</f>
      </c>
      <c r="BH27" s="45">
        <f>F27*AO27</f>
      </c>
      <c r="BI27" s="45">
        <f>F27*AP27</f>
      </c>
      <c r="BJ27" s="45">
        <f>F27*G27</f>
      </c>
      <c r="BK27" s="45"/>
      <c r="BL27" s="45" t="n">
        <v>721</v>
      </c>
      <c r="BW27" s="45" t="n">
        <v>12</v>
      </c>
      <c r="BX27" s="14" t="s">
        <v>97</v>
      </c>
    </row>
    <row r="28">
      <c r="A28" s="9" t="s">
        <v>98</v>
      </c>
      <c r="B28" s="10" t="s">
        <v>99</v>
      </c>
      <c r="C28" s="14" t="s">
        <v>100</v>
      </c>
      <c r="D28" s="10"/>
      <c r="E28" s="10" t="s">
        <v>101</v>
      </c>
      <c r="F28" s="45" t="n">
        <v>3</v>
      </c>
      <c r="G28" s="45" t="n">
        <v>0</v>
      </c>
      <c r="H28" s="45">
        <f>F28*AO28</f>
      </c>
      <c r="I28" s="45">
        <f>F28*AP28</f>
      </c>
      <c r="J28" s="45">
        <f>F28*G28</f>
      </c>
      <c r="K28" s="46" t="s">
        <v>45</v>
      </c>
      <c r="Z28" s="45">
        <f>IF(AQ28="5",BJ28,0)</f>
      </c>
      <c r="AB28" s="45">
        <f>IF(AQ28="1",BH28,0)</f>
      </c>
      <c r="AC28" s="45">
        <f>IF(AQ28="1",BI28,0)</f>
      </c>
      <c r="AD28" s="45">
        <f>IF(AQ28="7",BH28,0)</f>
      </c>
      <c r="AE28" s="45">
        <f>IF(AQ28="7",BI28,0)</f>
      </c>
      <c r="AF28" s="45">
        <f>IF(AQ28="2",BH28,0)</f>
      </c>
      <c r="AG28" s="45">
        <f>IF(AQ28="2",BI28,0)</f>
      </c>
      <c r="AH28" s="45">
        <f>IF(AQ28="0",BJ28,0)</f>
      </c>
      <c r="AI28" s="28" t="s">
        <v>45</v>
      </c>
      <c r="AJ28" s="45">
        <f>IF(AN28=0,J28,0)</f>
      </c>
      <c r="AK28" s="45">
        <f>IF(AN28=12,J28,0)</f>
      </c>
      <c r="AL28" s="45">
        <f>IF(AN28=21,J28,0)</f>
      </c>
      <c r="AN28" s="45" t="n">
        <v>12</v>
      </c>
      <c r="AO28" s="45">
        <f>G28*0.609756098</f>
      </c>
      <c r="AP28" s="45">
        <f>G28*(1-0.609756098)</f>
      </c>
      <c r="AQ28" s="47" t="s">
        <v>53</v>
      </c>
      <c r="AV28" s="45">
        <f>AW28+AX28</f>
      </c>
      <c r="AW28" s="45">
        <f>F28*AO28</f>
      </c>
      <c r="AX28" s="45">
        <f>F28*AP28</f>
      </c>
      <c r="AY28" s="47" t="s">
        <v>54</v>
      </c>
      <c r="AZ28" s="47" t="s">
        <v>55</v>
      </c>
      <c r="BA28" s="28" t="s">
        <v>56</v>
      </c>
      <c r="BC28" s="45">
        <f>AW28+AX28</f>
      </c>
      <c r="BD28" s="45">
        <f>G28/(100-BE28)*100</f>
      </c>
      <c r="BE28" s="45" t="n">
        <v>0</v>
      </c>
      <c r="BF28" s="45">
        <f>28</f>
      </c>
      <c r="BH28" s="45">
        <f>F28*AO28</f>
      </c>
      <c r="BI28" s="45">
        <f>F28*AP28</f>
      </c>
      <c r="BJ28" s="45">
        <f>F28*G28</f>
      </c>
      <c r="BK28" s="45"/>
      <c r="BL28" s="45" t="n">
        <v>721</v>
      </c>
      <c r="BW28" s="45" t="n">
        <v>12</v>
      </c>
      <c r="BX28" s="14" t="s">
        <v>100</v>
      </c>
    </row>
    <row r="29">
      <c r="A29" s="9" t="s">
        <v>102</v>
      </c>
      <c r="B29" s="10" t="s">
        <v>103</v>
      </c>
      <c r="C29" s="14" t="s">
        <v>104</v>
      </c>
      <c r="D29" s="10"/>
      <c r="E29" s="10" t="s">
        <v>101</v>
      </c>
      <c r="F29" s="45" t="n">
        <v>15</v>
      </c>
      <c r="G29" s="45" t="n">
        <v>0</v>
      </c>
      <c r="H29" s="45">
        <f>F29*AO29</f>
      </c>
      <c r="I29" s="45">
        <f>F29*AP29</f>
      </c>
      <c r="J29" s="45">
        <f>F29*G29</f>
      </c>
      <c r="K29" s="46" t="s">
        <v>45</v>
      </c>
      <c r="Z29" s="45">
        <f>IF(AQ29="5",BJ29,0)</f>
      </c>
      <c r="AB29" s="45">
        <f>IF(AQ29="1",BH29,0)</f>
      </c>
      <c r="AC29" s="45">
        <f>IF(AQ29="1",BI29,0)</f>
      </c>
      <c r="AD29" s="45">
        <f>IF(AQ29="7",BH29,0)</f>
      </c>
      <c r="AE29" s="45">
        <f>IF(AQ29="7",BI29,0)</f>
      </c>
      <c r="AF29" s="45">
        <f>IF(AQ29="2",BH29,0)</f>
      </c>
      <c r="AG29" s="45">
        <f>IF(AQ29="2",BI29,0)</f>
      </c>
      <c r="AH29" s="45">
        <f>IF(AQ29="0",BJ29,0)</f>
      </c>
      <c r="AI29" s="28" t="s">
        <v>45</v>
      </c>
      <c r="AJ29" s="45">
        <f>IF(AN29=0,J29,0)</f>
      </c>
      <c r="AK29" s="45">
        <f>IF(AN29=12,J29,0)</f>
      </c>
      <c r="AL29" s="45">
        <f>IF(AN29=21,J29,0)</f>
      </c>
      <c r="AN29" s="45" t="n">
        <v>12</v>
      </c>
      <c r="AO29" s="45">
        <f>G29*0.627530364</f>
      </c>
      <c r="AP29" s="45">
        <f>G29*(1-0.627530364)</f>
      </c>
      <c r="AQ29" s="47" t="s">
        <v>53</v>
      </c>
      <c r="AV29" s="45">
        <f>AW29+AX29</f>
      </c>
      <c r="AW29" s="45">
        <f>F29*AO29</f>
      </c>
      <c r="AX29" s="45">
        <f>F29*AP29</f>
      </c>
      <c r="AY29" s="47" t="s">
        <v>54</v>
      </c>
      <c r="AZ29" s="47" t="s">
        <v>55</v>
      </c>
      <c r="BA29" s="28" t="s">
        <v>56</v>
      </c>
      <c r="BC29" s="45">
        <f>AW29+AX29</f>
      </c>
      <c r="BD29" s="45">
        <f>G29/(100-BE29)*100</f>
      </c>
      <c r="BE29" s="45" t="n">
        <v>0</v>
      </c>
      <c r="BF29" s="45">
        <f>29</f>
      </c>
      <c r="BH29" s="45">
        <f>F29*AO29</f>
      </c>
      <c r="BI29" s="45">
        <f>F29*AP29</f>
      </c>
      <c r="BJ29" s="45">
        <f>F29*G29</f>
      </c>
      <c r="BK29" s="45"/>
      <c r="BL29" s="45" t="n">
        <v>721</v>
      </c>
      <c r="BW29" s="45" t="n">
        <v>12</v>
      </c>
      <c r="BX29" s="14" t="s">
        <v>104</v>
      </c>
    </row>
    <row r="30">
      <c r="A30" s="9" t="s">
        <v>105</v>
      </c>
      <c r="B30" s="10" t="s">
        <v>106</v>
      </c>
      <c r="C30" s="14" t="s">
        <v>107</v>
      </c>
      <c r="D30" s="10"/>
      <c r="E30" s="10" t="s">
        <v>101</v>
      </c>
      <c r="F30" s="45" t="n">
        <v>7</v>
      </c>
      <c r="G30" s="45" t="n">
        <v>0</v>
      </c>
      <c r="H30" s="45">
        <f>F30*AO30</f>
      </c>
      <c r="I30" s="45">
        <f>F30*AP30</f>
      </c>
      <c r="J30" s="45">
        <f>F30*G30</f>
      </c>
      <c r="K30" s="46" t="s">
        <v>45</v>
      </c>
      <c r="Z30" s="45">
        <f>IF(AQ30="5",BJ30,0)</f>
      </c>
      <c r="AB30" s="45">
        <f>IF(AQ30="1",BH30,0)</f>
      </c>
      <c r="AC30" s="45">
        <f>IF(AQ30="1",BI30,0)</f>
      </c>
      <c r="AD30" s="45">
        <f>IF(AQ30="7",BH30,0)</f>
      </c>
      <c r="AE30" s="45">
        <f>IF(AQ30="7",BI30,0)</f>
      </c>
      <c r="AF30" s="45">
        <f>IF(AQ30="2",BH30,0)</f>
      </c>
      <c r="AG30" s="45">
        <f>IF(AQ30="2",BI30,0)</f>
      </c>
      <c r="AH30" s="45">
        <f>IF(AQ30="0",BJ30,0)</f>
      </c>
      <c r="AI30" s="28" t="s">
        <v>45</v>
      </c>
      <c r="AJ30" s="45">
        <f>IF(AN30=0,J30,0)</f>
      </c>
      <c r="AK30" s="45">
        <f>IF(AN30=12,J30,0)</f>
      </c>
      <c r="AL30" s="45">
        <f>IF(AN30=21,J30,0)</f>
      </c>
      <c r="AN30" s="45" t="n">
        <v>12</v>
      </c>
      <c r="AO30" s="45">
        <f>G30*0.641638225</f>
      </c>
      <c r="AP30" s="45">
        <f>G30*(1-0.641638225)</f>
      </c>
      <c r="AQ30" s="47" t="s">
        <v>53</v>
      </c>
      <c r="AV30" s="45">
        <f>AW30+AX30</f>
      </c>
      <c r="AW30" s="45">
        <f>F30*AO30</f>
      </c>
      <c r="AX30" s="45">
        <f>F30*AP30</f>
      </c>
      <c r="AY30" s="47" t="s">
        <v>54</v>
      </c>
      <c r="AZ30" s="47" t="s">
        <v>55</v>
      </c>
      <c r="BA30" s="28" t="s">
        <v>56</v>
      </c>
      <c r="BC30" s="45">
        <f>AW30+AX30</f>
      </c>
      <c r="BD30" s="45">
        <f>G30/(100-BE30)*100</f>
      </c>
      <c r="BE30" s="45" t="n">
        <v>0</v>
      </c>
      <c r="BF30" s="45">
        <f>30</f>
      </c>
      <c r="BH30" s="45">
        <f>F30*AO30</f>
      </c>
      <c r="BI30" s="45">
        <f>F30*AP30</f>
      </c>
      <c r="BJ30" s="45">
        <f>F30*G30</f>
      </c>
      <c r="BK30" s="45"/>
      <c r="BL30" s="45" t="n">
        <v>721</v>
      </c>
      <c r="BW30" s="45" t="n">
        <v>12</v>
      </c>
      <c r="BX30" s="14" t="s">
        <v>107</v>
      </c>
    </row>
    <row r="31">
      <c r="A31" s="9" t="s">
        <v>108</v>
      </c>
      <c r="B31" s="10" t="s">
        <v>109</v>
      </c>
      <c r="C31" s="14" t="s">
        <v>110</v>
      </c>
      <c r="D31" s="10"/>
      <c r="E31" s="10" t="s">
        <v>111</v>
      </c>
      <c r="F31" s="45" t="n">
        <v>25</v>
      </c>
      <c r="G31" s="45" t="n">
        <v>0</v>
      </c>
      <c r="H31" s="45">
        <f>F31*AO31</f>
      </c>
      <c r="I31" s="45">
        <f>F31*AP31</f>
      </c>
      <c r="J31" s="45">
        <f>F31*G31</f>
      </c>
      <c r="K31" s="46" t="s">
        <v>52</v>
      </c>
      <c r="Z31" s="45">
        <f>IF(AQ31="5",BJ31,0)</f>
      </c>
      <c r="AB31" s="45">
        <f>IF(AQ31="1",BH31,0)</f>
      </c>
      <c r="AC31" s="45">
        <f>IF(AQ31="1",BI31,0)</f>
      </c>
      <c r="AD31" s="45">
        <f>IF(AQ31="7",BH31,0)</f>
      </c>
      <c r="AE31" s="45">
        <f>IF(AQ31="7",BI31,0)</f>
      </c>
      <c r="AF31" s="45">
        <f>IF(AQ31="2",BH31,0)</f>
      </c>
      <c r="AG31" s="45">
        <f>IF(AQ31="2",BI31,0)</f>
      </c>
      <c r="AH31" s="45">
        <f>IF(AQ31="0",BJ31,0)</f>
      </c>
      <c r="AI31" s="28" t="s">
        <v>45</v>
      </c>
      <c r="AJ31" s="45">
        <f>IF(AN31=0,J31,0)</f>
      </c>
      <c r="AK31" s="45">
        <f>IF(AN31=12,J31,0)</f>
      </c>
      <c r="AL31" s="45">
        <f>IF(AN31=21,J31,0)</f>
      </c>
      <c r="AN31" s="45" t="n">
        <v>12</v>
      </c>
      <c r="AO31" s="45">
        <f>G31*0.317479542</f>
      </c>
      <c r="AP31" s="45">
        <f>G31*(1-0.317479542)</f>
      </c>
      <c r="AQ31" s="47" t="s">
        <v>53</v>
      </c>
      <c r="AV31" s="45">
        <f>AW31+AX31</f>
      </c>
      <c r="AW31" s="45">
        <f>F31*AO31</f>
      </c>
      <c r="AX31" s="45">
        <f>F31*AP31</f>
      </c>
      <c r="AY31" s="47" t="s">
        <v>54</v>
      </c>
      <c r="AZ31" s="47" t="s">
        <v>55</v>
      </c>
      <c r="BA31" s="28" t="s">
        <v>56</v>
      </c>
      <c r="BC31" s="45">
        <f>AW31+AX31</f>
      </c>
      <c r="BD31" s="45">
        <f>G31/(100-BE31)*100</f>
      </c>
      <c r="BE31" s="45" t="n">
        <v>0</v>
      </c>
      <c r="BF31" s="45">
        <f>31</f>
      </c>
      <c r="BH31" s="45">
        <f>F31*AO31</f>
      </c>
      <c r="BI31" s="45">
        <f>F31*AP31</f>
      </c>
      <c r="BJ31" s="45">
        <f>F31*G31</f>
      </c>
      <c r="BK31" s="45"/>
      <c r="BL31" s="45" t="n">
        <v>721</v>
      </c>
      <c r="BW31" s="45" t="n">
        <v>12</v>
      </c>
      <c r="BX31" s="14" t="s">
        <v>110</v>
      </c>
    </row>
    <row r="32">
      <c r="A32" s="9" t="s">
        <v>112</v>
      </c>
      <c r="B32" s="10" t="s">
        <v>113</v>
      </c>
      <c r="C32" s="14" t="s">
        <v>114</v>
      </c>
      <c r="D32" s="10"/>
      <c r="E32" s="10" t="s">
        <v>111</v>
      </c>
      <c r="F32" s="45" t="n">
        <v>6</v>
      </c>
      <c r="G32" s="45" t="n">
        <v>0</v>
      </c>
      <c r="H32" s="45">
        <f>F32*AO32</f>
      </c>
      <c r="I32" s="45">
        <f>F32*AP32</f>
      </c>
      <c r="J32" s="45">
        <f>F32*G32</f>
      </c>
      <c r="K32" s="46" t="s">
        <v>115</v>
      </c>
      <c r="Z32" s="45">
        <f>IF(AQ32="5",BJ32,0)</f>
      </c>
      <c r="AB32" s="45">
        <f>IF(AQ32="1",BH32,0)</f>
      </c>
      <c r="AC32" s="45">
        <f>IF(AQ32="1",BI32,0)</f>
      </c>
      <c r="AD32" s="45">
        <f>IF(AQ32="7",BH32,0)</f>
      </c>
      <c r="AE32" s="45">
        <f>IF(AQ32="7",BI32,0)</f>
      </c>
      <c r="AF32" s="45">
        <f>IF(AQ32="2",BH32,0)</f>
      </c>
      <c r="AG32" s="45">
        <f>IF(AQ32="2",BI32,0)</f>
      </c>
      <c r="AH32" s="45">
        <f>IF(AQ32="0",BJ32,0)</f>
      </c>
      <c r="AI32" s="28" t="s">
        <v>45</v>
      </c>
      <c r="AJ32" s="45">
        <f>IF(AN32=0,J32,0)</f>
      </c>
      <c r="AK32" s="45">
        <f>IF(AN32=12,J32,0)</f>
      </c>
      <c r="AL32" s="45">
        <f>IF(AN32=21,J32,0)</f>
      </c>
      <c r="AN32" s="45" t="n">
        <v>12</v>
      </c>
      <c r="AO32" s="45">
        <f>G32*0</f>
      </c>
      <c r="AP32" s="45">
        <f>G32*(1-0)</f>
      </c>
      <c r="AQ32" s="47" t="s">
        <v>53</v>
      </c>
      <c r="AV32" s="45">
        <f>AW32+AX32</f>
      </c>
      <c r="AW32" s="45">
        <f>F32*AO32</f>
      </c>
      <c r="AX32" s="45">
        <f>F32*AP32</f>
      </c>
      <c r="AY32" s="47" t="s">
        <v>54</v>
      </c>
      <c r="AZ32" s="47" t="s">
        <v>55</v>
      </c>
      <c r="BA32" s="28" t="s">
        <v>56</v>
      </c>
      <c r="BC32" s="45">
        <f>AW32+AX32</f>
      </c>
      <c r="BD32" s="45">
        <f>G32/(100-BE32)*100</f>
      </c>
      <c r="BE32" s="45" t="n">
        <v>0</v>
      </c>
      <c r="BF32" s="45">
        <f>32</f>
      </c>
      <c r="BH32" s="45">
        <f>F32*AO32</f>
      </c>
      <c r="BI32" s="45">
        <f>F32*AP32</f>
      </c>
      <c r="BJ32" s="45">
        <f>F32*G32</f>
      </c>
      <c r="BK32" s="45"/>
      <c r="BL32" s="45" t="n">
        <v>721</v>
      </c>
      <c r="BW32" s="45" t="n">
        <v>12</v>
      </c>
      <c r="BX32" s="14" t="s">
        <v>114</v>
      </c>
    </row>
    <row r="33">
      <c r="A33" s="9" t="s">
        <v>116</v>
      </c>
      <c r="B33" s="10" t="s">
        <v>117</v>
      </c>
      <c r="C33" s="14" t="s">
        <v>118</v>
      </c>
      <c r="D33" s="10"/>
      <c r="E33" s="10" t="s">
        <v>101</v>
      </c>
      <c r="F33" s="45" t="n">
        <v>2</v>
      </c>
      <c r="G33" s="45" t="n">
        <v>0</v>
      </c>
      <c r="H33" s="45">
        <f>F33*AO33</f>
      </c>
      <c r="I33" s="45">
        <f>F33*AP33</f>
      </c>
      <c r="J33" s="45">
        <f>F33*G33</f>
      </c>
      <c r="K33" s="46" t="s">
        <v>45</v>
      </c>
      <c r="Z33" s="45">
        <f>IF(AQ33="5",BJ33,0)</f>
      </c>
      <c r="AB33" s="45">
        <f>IF(AQ33="1",BH33,0)</f>
      </c>
      <c r="AC33" s="45">
        <f>IF(AQ33="1",BI33,0)</f>
      </c>
      <c r="AD33" s="45">
        <f>IF(AQ33="7",BH33,0)</f>
      </c>
      <c r="AE33" s="45">
        <f>IF(AQ33="7",BI33,0)</f>
      </c>
      <c r="AF33" s="45">
        <f>IF(AQ33="2",BH33,0)</f>
      </c>
      <c r="AG33" s="45">
        <f>IF(AQ33="2",BI33,0)</f>
      </c>
      <c r="AH33" s="45">
        <f>IF(AQ33="0",BJ33,0)</f>
      </c>
      <c r="AI33" s="28" t="s">
        <v>45</v>
      </c>
      <c r="AJ33" s="45">
        <f>IF(AN33=0,J33,0)</f>
      </c>
      <c r="AK33" s="45">
        <f>IF(AN33=12,J33,0)</f>
      </c>
      <c r="AL33" s="45">
        <f>IF(AN33=21,J33,0)</f>
      </c>
      <c r="AN33" s="45" t="n">
        <v>12</v>
      </c>
      <c r="AO33" s="45">
        <f>G33*0.700621118</f>
      </c>
      <c r="AP33" s="45">
        <f>G33*(1-0.700621118)</f>
      </c>
      <c r="AQ33" s="47" t="s">
        <v>53</v>
      </c>
      <c r="AV33" s="45">
        <f>AW33+AX33</f>
      </c>
      <c r="AW33" s="45">
        <f>F33*AO33</f>
      </c>
      <c r="AX33" s="45">
        <f>F33*AP33</f>
      </c>
      <c r="AY33" s="47" t="s">
        <v>54</v>
      </c>
      <c r="AZ33" s="47" t="s">
        <v>55</v>
      </c>
      <c r="BA33" s="28" t="s">
        <v>56</v>
      </c>
      <c r="BC33" s="45">
        <f>AW33+AX33</f>
      </c>
      <c r="BD33" s="45">
        <f>G33/(100-BE33)*100</f>
      </c>
      <c r="BE33" s="45" t="n">
        <v>0</v>
      </c>
      <c r="BF33" s="45">
        <f>33</f>
      </c>
      <c r="BH33" s="45">
        <f>F33*AO33</f>
      </c>
      <c r="BI33" s="45">
        <f>F33*AP33</f>
      </c>
      <c r="BJ33" s="45">
        <f>F33*G33</f>
      </c>
      <c r="BK33" s="45"/>
      <c r="BL33" s="45" t="n">
        <v>721</v>
      </c>
      <c r="BW33" s="45" t="n">
        <v>12</v>
      </c>
      <c r="BX33" s="14" t="s">
        <v>118</v>
      </c>
    </row>
    <row r="34" customHeight="true" ht="13.5">
      <c r="A34" s="48"/>
      <c r="B34" s="49" t="s">
        <v>119</v>
      </c>
      <c r="C34" s="50" t="s">
        <v>120</v>
      </c>
      <c r="D34" s="51"/>
      <c r="E34" s="51"/>
      <c r="F34" s="51"/>
      <c r="G34" s="51"/>
      <c r="H34" s="51"/>
      <c r="I34" s="51"/>
      <c r="J34" s="51"/>
      <c r="K34" s="52"/>
    </row>
    <row r="35">
      <c r="A35" s="9" t="s">
        <v>121</v>
      </c>
      <c r="B35" s="10" t="s">
        <v>122</v>
      </c>
      <c r="C35" s="14" t="s">
        <v>123</v>
      </c>
      <c r="D35" s="10"/>
      <c r="E35" s="10" t="s">
        <v>124</v>
      </c>
      <c r="F35" s="45" t="n">
        <v>2</v>
      </c>
      <c r="G35" s="45" t="n">
        <v>0</v>
      </c>
      <c r="H35" s="45">
        <f>F35*AO35</f>
      </c>
      <c r="I35" s="45">
        <f>F35*AP35</f>
      </c>
      <c r="J35" s="45">
        <f>F35*G35</f>
      </c>
      <c r="K35" s="46" t="s">
        <v>45</v>
      </c>
      <c r="Z35" s="45">
        <f>IF(AQ35="5",BJ35,0)</f>
      </c>
      <c r="AB35" s="45">
        <f>IF(AQ35="1",BH35,0)</f>
      </c>
      <c r="AC35" s="45">
        <f>IF(AQ35="1",BI35,0)</f>
      </c>
      <c r="AD35" s="45">
        <f>IF(AQ35="7",BH35,0)</f>
      </c>
      <c r="AE35" s="45">
        <f>IF(AQ35="7",BI35,0)</f>
      </c>
      <c r="AF35" s="45">
        <f>IF(AQ35="2",BH35,0)</f>
      </c>
      <c r="AG35" s="45">
        <f>IF(AQ35="2",BI35,0)</f>
      </c>
      <c r="AH35" s="45">
        <f>IF(AQ35="0",BJ35,0)</f>
      </c>
      <c r="AI35" s="28" t="s">
        <v>45</v>
      </c>
      <c r="AJ35" s="45">
        <f>IF(AN35=0,J35,0)</f>
      </c>
      <c r="AK35" s="45">
        <f>IF(AN35=12,J35,0)</f>
      </c>
      <c r="AL35" s="45">
        <f>IF(AN35=21,J35,0)</f>
      </c>
      <c r="AN35" s="45" t="n">
        <v>12</v>
      </c>
      <c r="AO35" s="45">
        <f>G35*0.837721366</f>
      </c>
      <c r="AP35" s="45">
        <f>G35*(1-0.837721366)</f>
      </c>
      <c r="AQ35" s="47" t="s">
        <v>53</v>
      </c>
      <c r="AV35" s="45">
        <f>AW35+AX35</f>
      </c>
      <c r="AW35" s="45">
        <f>F35*AO35</f>
      </c>
      <c r="AX35" s="45">
        <f>F35*AP35</f>
      </c>
      <c r="AY35" s="47" t="s">
        <v>54</v>
      </c>
      <c r="AZ35" s="47" t="s">
        <v>55</v>
      </c>
      <c r="BA35" s="28" t="s">
        <v>56</v>
      </c>
      <c r="BC35" s="45">
        <f>AW35+AX35</f>
      </c>
      <c r="BD35" s="45">
        <f>G35/(100-BE35)*100</f>
      </c>
      <c r="BE35" s="45" t="n">
        <v>45</v>
      </c>
      <c r="BF35" s="45">
        <f>35</f>
      </c>
      <c r="BH35" s="45">
        <f>F35*AO35</f>
      </c>
      <c r="BI35" s="45">
        <f>F35*AP35</f>
      </c>
      <c r="BJ35" s="45">
        <f>F35*G35</f>
      </c>
      <c r="BK35" s="45"/>
      <c r="BL35" s="45" t="n">
        <v>721</v>
      </c>
      <c r="BW35" s="45" t="n">
        <v>12</v>
      </c>
      <c r="BX35" s="14" t="s">
        <v>123</v>
      </c>
    </row>
    <row r="36" customHeight="true" ht="13.5">
      <c r="A36" s="48"/>
      <c r="B36" s="49" t="s">
        <v>119</v>
      </c>
      <c r="C36" s="50" t="s">
        <v>125</v>
      </c>
      <c r="D36" s="51"/>
      <c r="E36" s="51"/>
      <c r="F36" s="51"/>
      <c r="G36" s="51"/>
      <c r="H36" s="51"/>
      <c r="I36" s="51"/>
      <c r="J36" s="51"/>
      <c r="K36" s="52"/>
    </row>
    <row r="37">
      <c r="A37" s="9" t="s">
        <v>126</v>
      </c>
      <c r="B37" s="10" t="s">
        <v>127</v>
      </c>
      <c r="C37" s="14" t="s">
        <v>128</v>
      </c>
      <c r="D37" s="10"/>
      <c r="E37" s="10" t="s">
        <v>51</v>
      </c>
      <c r="F37" s="45" t="n">
        <v>32</v>
      </c>
      <c r="G37" s="45" t="n">
        <v>0</v>
      </c>
      <c r="H37" s="45">
        <f>F37*AO37</f>
      </c>
      <c r="I37" s="45">
        <f>F37*AP37</f>
      </c>
      <c r="J37" s="45">
        <f>F37*G37</f>
      </c>
      <c r="K37" s="46" t="s">
        <v>115</v>
      </c>
      <c r="Z37" s="45">
        <f>IF(AQ37="5",BJ37,0)</f>
      </c>
      <c r="AB37" s="45">
        <f>IF(AQ37="1",BH37,0)</f>
      </c>
      <c r="AC37" s="45">
        <f>IF(AQ37="1",BI37,0)</f>
      </c>
      <c r="AD37" s="45">
        <f>IF(AQ37="7",BH37,0)</f>
      </c>
      <c r="AE37" s="45">
        <f>IF(AQ37="7",BI37,0)</f>
      </c>
      <c r="AF37" s="45">
        <f>IF(AQ37="2",BH37,0)</f>
      </c>
      <c r="AG37" s="45">
        <f>IF(AQ37="2",BI37,0)</f>
      </c>
      <c r="AH37" s="45">
        <f>IF(AQ37="0",BJ37,0)</f>
      </c>
      <c r="AI37" s="28" t="s">
        <v>45</v>
      </c>
      <c r="AJ37" s="45">
        <f>IF(AN37=0,J37,0)</f>
      </c>
      <c r="AK37" s="45">
        <f>IF(AN37=12,J37,0)</f>
      </c>
      <c r="AL37" s="45">
        <f>IF(AN37=21,J37,0)</f>
      </c>
      <c r="AN37" s="45" t="n">
        <v>12</v>
      </c>
      <c r="AO37" s="45">
        <f>G37*0</f>
      </c>
      <c r="AP37" s="45">
        <f>G37*(1-0)</f>
      </c>
      <c r="AQ37" s="47" t="s">
        <v>53</v>
      </c>
      <c r="AV37" s="45">
        <f>AW37+AX37</f>
      </c>
      <c r="AW37" s="45">
        <f>F37*AO37</f>
      </c>
      <c r="AX37" s="45">
        <f>F37*AP37</f>
      </c>
      <c r="AY37" s="47" t="s">
        <v>54</v>
      </c>
      <c r="AZ37" s="47" t="s">
        <v>55</v>
      </c>
      <c r="BA37" s="28" t="s">
        <v>56</v>
      </c>
      <c r="BC37" s="45">
        <f>AW37+AX37</f>
      </c>
      <c r="BD37" s="45">
        <f>G37/(100-BE37)*100</f>
      </c>
      <c r="BE37" s="45" t="n">
        <v>0</v>
      </c>
      <c r="BF37" s="45">
        <f>37</f>
      </c>
      <c r="BH37" s="45">
        <f>F37*AO37</f>
      </c>
      <c r="BI37" s="45">
        <f>F37*AP37</f>
      </c>
      <c r="BJ37" s="45">
        <f>F37*G37</f>
      </c>
      <c r="BK37" s="45"/>
      <c r="BL37" s="45" t="n">
        <v>721</v>
      </c>
      <c r="BW37" s="45" t="n">
        <v>12</v>
      </c>
      <c r="BX37" s="14" t="s">
        <v>128</v>
      </c>
    </row>
    <row r="38">
      <c r="A38" s="9" t="s">
        <v>129</v>
      </c>
      <c r="B38" s="10" t="s">
        <v>130</v>
      </c>
      <c r="C38" s="14" t="s">
        <v>131</v>
      </c>
      <c r="D38" s="10"/>
      <c r="E38" s="10" t="s">
        <v>51</v>
      </c>
      <c r="F38" s="45" t="n">
        <v>126</v>
      </c>
      <c r="G38" s="45" t="n">
        <v>0</v>
      </c>
      <c r="H38" s="45">
        <f>F38*AO38</f>
      </c>
      <c r="I38" s="45">
        <f>F38*AP38</f>
      </c>
      <c r="J38" s="45">
        <f>F38*G38</f>
      </c>
      <c r="K38" s="46" t="s">
        <v>115</v>
      </c>
      <c r="Z38" s="45">
        <f>IF(AQ38="5",BJ38,0)</f>
      </c>
      <c r="AB38" s="45">
        <f>IF(AQ38="1",BH38,0)</f>
      </c>
      <c r="AC38" s="45">
        <f>IF(AQ38="1",BI38,0)</f>
      </c>
      <c r="AD38" s="45">
        <f>IF(AQ38="7",BH38,0)</f>
      </c>
      <c r="AE38" s="45">
        <f>IF(AQ38="7",BI38,0)</f>
      </c>
      <c r="AF38" s="45">
        <f>IF(AQ38="2",BH38,0)</f>
      </c>
      <c r="AG38" s="45">
        <f>IF(AQ38="2",BI38,0)</f>
      </c>
      <c r="AH38" s="45">
        <f>IF(AQ38="0",BJ38,0)</f>
      </c>
      <c r="AI38" s="28" t="s">
        <v>45</v>
      </c>
      <c r="AJ38" s="45">
        <f>IF(AN38=0,J38,0)</f>
      </c>
      <c r="AK38" s="45">
        <f>IF(AN38=12,J38,0)</f>
      </c>
      <c r="AL38" s="45">
        <f>IF(AN38=21,J38,0)</f>
      </c>
      <c r="AN38" s="45" t="n">
        <v>12</v>
      </c>
      <c r="AO38" s="45">
        <f>G38*0</f>
      </c>
      <c r="AP38" s="45">
        <f>G38*(1-0)</f>
      </c>
      <c r="AQ38" s="47" t="s">
        <v>53</v>
      </c>
      <c r="AV38" s="45">
        <f>AW38+AX38</f>
      </c>
      <c r="AW38" s="45">
        <f>F38*AO38</f>
      </c>
      <c r="AX38" s="45">
        <f>F38*AP38</f>
      </c>
      <c r="AY38" s="47" t="s">
        <v>54</v>
      </c>
      <c r="AZ38" s="47" t="s">
        <v>55</v>
      </c>
      <c r="BA38" s="28" t="s">
        <v>56</v>
      </c>
      <c r="BC38" s="45">
        <f>AW38+AX38</f>
      </c>
      <c r="BD38" s="45">
        <f>G38/(100-BE38)*100</f>
      </c>
      <c r="BE38" s="45" t="n">
        <v>0</v>
      </c>
      <c r="BF38" s="45">
        <f>38</f>
      </c>
      <c r="BH38" s="45">
        <f>F38*AO38</f>
      </c>
      <c r="BI38" s="45">
        <f>F38*AP38</f>
      </c>
      <c r="BJ38" s="45">
        <f>F38*G38</f>
      </c>
      <c r="BK38" s="45"/>
      <c r="BL38" s="45" t="n">
        <v>721</v>
      </c>
      <c r="BW38" s="45" t="n">
        <v>12</v>
      </c>
      <c r="BX38" s="14" t="s">
        <v>131</v>
      </c>
    </row>
    <row r="39">
      <c r="A39" s="9" t="s">
        <v>132</v>
      </c>
      <c r="B39" s="10" t="s">
        <v>133</v>
      </c>
      <c r="C39" s="14" t="s">
        <v>134</v>
      </c>
      <c r="D39" s="10"/>
      <c r="E39" s="10" t="s">
        <v>111</v>
      </c>
      <c r="F39" s="45" t="n">
        <v>8</v>
      </c>
      <c r="G39" s="45" t="n">
        <v>0</v>
      </c>
      <c r="H39" s="45">
        <f>F39*AO39</f>
      </c>
      <c r="I39" s="45">
        <f>F39*AP39</f>
      </c>
      <c r="J39" s="45">
        <f>F39*G39</f>
      </c>
      <c r="K39" s="46" t="s">
        <v>52</v>
      </c>
      <c r="Z39" s="45">
        <f>IF(AQ39="5",BJ39,0)</f>
      </c>
      <c r="AB39" s="45">
        <f>IF(AQ39="1",BH39,0)</f>
      </c>
      <c r="AC39" s="45">
        <f>IF(AQ39="1",BI39,0)</f>
      </c>
      <c r="AD39" s="45">
        <f>IF(AQ39="7",BH39,0)</f>
      </c>
      <c r="AE39" s="45">
        <f>IF(AQ39="7",BI39,0)</f>
      </c>
      <c r="AF39" s="45">
        <f>IF(AQ39="2",BH39,0)</f>
      </c>
      <c r="AG39" s="45">
        <f>IF(AQ39="2",BI39,0)</f>
      </c>
      <c r="AH39" s="45">
        <f>IF(AQ39="0",BJ39,0)</f>
      </c>
      <c r="AI39" s="28" t="s">
        <v>45</v>
      </c>
      <c r="AJ39" s="45">
        <f>IF(AN39=0,J39,0)</f>
      </c>
      <c r="AK39" s="45">
        <f>IF(AN39=12,J39,0)</f>
      </c>
      <c r="AL39" s="45">
        <f>IF(AN39=21,J39,0)</f>
      </c>
      <c r="AN39" s="45" t="n">
        <v>12</v>
      </c>
      <c r="AO39" s="45">
        <f>G39*0</f>
      </c>
      <c r="AP39" s="45">
        <f>G39*(1-0)</f>
      </c>
      <c r="AQ39" s="47" t="s">
        <v>53</v>
      </c>
      <c r="AV39" s="45">
        <f>AW39+AX39</f>
      </c>
      <c r="AW39" s="45">
        <f>F39*AO39</f>
      </c>
      <c r="AX39" s="45">
        <f>F39*AP39</f>
      </c>
      <c r="AY39" s="47" t="s">
        <v>54</v>
      </c>
      <c r="AZ39" s="47" t="s">
        <v>55</v>
      </c>
      <c r="BA39" s="28" t="s">
        <v>56</v>
      </c>
      <c r="BC39" s="45">
        <f>AW39+AX39</f>
      </c>
      <c r="BD39" s="45">
        <f>G39/(100-BE39)*100</f>
      </c>
      <c r="BE39" s="45" t="n">
        <v>0</v>
      </c>
      <c r="BF39" s="45">
        <f>39</f>
      </c>
      <c r="BH39" s="45">
        <f>F39*AO39</f>
      </c>
      <c r="BI39" s="45">
        <f>F39*AP39</f>
      </c>
      <c r="BJ39" s="45">
        <f>F39*G39</f>
      </c>
      <c r="BK39" s="45"/>
      <c r="BL39" s="45" t="n">
        <v>721</v>
      </c>
      <c r="BW39" s="45" t="n">
        <v>12</v>
      </c>
      <c r="BX39" s="14" t="s">
        <v>134</v>
      </c>
    </row>
    <row r="40">
      <c r="A40" s="9" t="s">
        <v>135</v>
      </c>
      <c r="B40" s="10" t="s">
        <v>136</v>
      </c>
      <c r="C40" s="14" t="s">
        <v>137</v>
      </c>
      <c r="D40" s="10"/>
      <c r="E40" s="10" t="s">
        <v>111</v>
      </c>
      <c r="F40" s="45" t="n">
        <v>28</v>
      </c>
      <c r="G40" s="45" t="n">
        <v>0</v>
      </c>
      <c r="H40" s="45">
        <f>F40*AO40</f>
      </c>
      <c r="I40" s="45">
        <f>F40*AP40</f>
      </c>
      <c r="J40" s="45">
        <f>F40*G40</f>
      </c>
      <c r="K40" s="46" t="s">
        <v>52</v>
      </c>
      <c r="Z40" s="45">
        <f>IF(AQ40="5",BJ40,0)</f>
      </c>
      <c r="AB40" s="45">
        <f>IF(AQ40="1",BH40,0)</f>
      </c>
      <c r="AC40" s="45">
        <f>IF(AQ40="1",BI40,0)</f>
      </c>
      <c r="AD40" s="45">
        <f>IF(AQ40="7",BH40,0)</f>
      </c>
      <c r="AE40" s="45">
        <f>IF(AQ40="7",BI40,0)</f>
      </c>
      <c r="AF40" s="45">
        <f>IF(AQ40="2",BH40,0)</f>
      </c>
      <c r="AG40" s="45">
        <f>IF(AQ40="2",BI40,0)</f>
      </c>
      <c r="AH40" s="45">
        <f>IF(AQ40="0",BJ40,0)</f>
      </c>
      <c r="AI40" s="28" t="s">
        <v>45</v>
      </c>
      <c r="AJ40" s="45">
        <f>IF(AN40=0,J40,0)</f>
      </c>
      <c r="AK40" s="45">
        <f>IF(AN40=12,J40,0)</f>
      </c>
      <c r="AL40" s="45">
        <f>IF(AN40=21,J40,0)</f>
      </c>
      <c r="AN40" s="45" t="n">
        <v>12</v>
      </c>
      <c r="AO40" s="45">
        <f>G40*0</f>
      </c>
      <c r="AP40" s="45">
        <f>G40*(1-0)</f>
      </c>
      <c r="AQ40" s="47" t="s">
        <v>53</v>
      </c>
      <c r="AV40" s="45">
        <f>AW40+AX40</f>
      </c>
      <c r="AW40" s="45">
        <f>F40*AO40</f>
      </c>
      <c r="AX40" s="45">
        <f>F40*AP40</f>
      </c>
      <c r="AY40" s="47" t="s">
        <v>54</v>
      </c>
      <c r="AZ40" s="47" t="s">
        <v>55</v>
      </c>
      <c r="BA40" s="28" t="s">
        <v>56</v>
      </c>
      <c r="BC40" s="45">
        <f>AW40+AX40</f>
      </c>
      <c r="BD40" s="45">
        <f>G40/(100-BE40)*100</f>
      </c>
      <c r="BE40" s="45" t="n">
        <v>0</v>
      </c>
      <c r="BF40" s="45">
        <f>40</f>
      </c>
      <c r="BH40" s="45">
        <f>F40*AO40</f>
      </c>
      <c r="BI40" s="45">
        <f>F40*AP40</f>
      </c>
      <c r="BJ40" s="45">
        <f>F40*G40</f>
      </c>
      <c r="BK40" s="45"/>
      <c r="BL40" s="45" t="n">
        <v>721</v>
      </c>
      <c r="BW40" s="45" t="n">
        <v>12</v>
      </c>
      <c r="BX40" s="14" t="s">
        <v>137</v>
      </c>
    </row>
    <row r="41">
      <c r="A41" s="9" t="s">
        <v>138</v>
      </c>
      <c r="B41" s="10" t="s">
        <v>139</v>
      </c>
      <c r="C41" s="14" t="s">
        <v>140</v>
      </c>
      <c r="D41" s="10"/>
      <c r="E41" s="10" t="s">
        <v>111</v>
      </c>
      <c r="F41" s="45" t="n">
        <v>28</v>
      </c>
      <c r="G41" s="45" t="n">
        <v>0</v>
      </c>
      <c r="H41" s="45">
        <f>F41*AO41</f>
      </c>
      <c r="I41" s="45">
        <f>F41*AP41</f>
      </c>
      <c r="J41" s="45">
        <f>F41*G41</f>
      </c>
      <c r="K41" s="46" t="s">
        <v>52</v>
      </c>
      <c r="Z41" s="45">
        <f>IF(AQ41="5",BJ41,0)</f>
      </c>
      <c r="AB41" s="45">
        <f>IF(AQ41="1",BH41,0)</f>
      </c>
      <c r="AC41" s="45">
        <f>IF(AQ41="1",BI41,0)</f>
      </c>
      <c r="AD41" s="45">
        <f>IF(AQ41="7",BH41,0)</f>
      </c>
      <c r="AE41" s="45">
        <f>IF(AQ41="7",BI41,0)</f>
      </c>
      <c r="AF41" s="45">
        <f>IF(AQ41="2",BH41,0)</f>
      </c>
      <c r="AG41" s="45">
        <f>IF(AQ41="2",BI41,0)</f>
      </c>
      <c r="AH41" s="45">
        <f>IF(AQ41="0",BJ41,0)</f>
      </c>
      <c r="AI41" s="28" t="s">
        <v>45</v>
      </c>
      <c r="AJ41" s="45">
        <f>IF(AN41=0,J41,0)</f>
      </c>
      <c r="AK41" s="45">
        <f>IF(AN41=12,J41,0)</f>
      </c>
      <c r="AL41" s="45">
        <f>IF(AN41=21,J41,0)</f>
      </c>
      <c r="AN41" s="45" t="n">
        <v>12</v>
      </c>
      <c r="AO41" s="45">
        <f>G41*0</f>
      </c>
      <c r="AP41" s="45">
        <f>G41*(1-0)</f>
      </c>
      <c r="AQ41" s="47" t="s">
        <v>53</v>
      </c>
      <c r="AV41" s="45">
        <f>AW41+AX41</f>
      </c>
      <c r="AW41" s="45">
        <f>F41*AO41</f>
      </c>
      <c r="AX41" s="45">
        <f>F41*AP41</f>
      </c>
      <c r="AY41" s="47" t="s">
        <v>54</v>
      </c>
      <c r="AZ41" s="47" t="s">
        <v>55</v>
      </c>
      <c r="BA41" s="28" t="s">
        <v>56</v>
      </c>
      <c r="BC41" s="45">
        <f>AW41+AX41</f>
      </c>
      <c r="BD41" s="45">
        <f>G41/(100-BE41)*100</f>
      </c>
      <c r="BE41" s="45" t="n">
        <v>0</v>
      </c>
      <c r="BF41" s="45">
        <f>41</f>
      </c>
      <c r="BH41" s="45">
        <f>F41*AO41</f>
      </c>
      <c r="BI41" s="45">
        <f>F41*AP41</f>
      </c>
      <c r="BJ41" s="45">
        <f>F41*G41</f>
      </c>
      <c r="BK41" s="45"/>
      <c r="BL41" s="45" t="n">
        <v>721</v>
      </c>
      <c r="BW41" s="45" t="n">
        <v>12</v>
      </c>
      <c r="BX41" s="14" t="s">
        <v>140</v>
      </c>
    </row>
    <row r="42">
      <c r="A42" s="9" t="s">
        <v>141</v>
      </c>
      <c r="B42" s="10" t="s">
        <v>142</v>
      </c>
      <c r="C42" s="14" t="s">
        <v>143</v>
      </c>
      <c r="D42" s="10"/>
      <c r="E42" s="10" t="s">
        <v>111</v>
      </c>
      <c r="F42" s="45" t="n">
        <v>2</v>
      </c>
      <c r="G42" s="45" t="n">
        <v>0</v>
      </c>
      <c r="H42" s="45">
        <f>F42*AO42</f>
      </c>
      <c r="I42" s="45">
        <f>F42*AP42</f>
      </c>
      <c r="J42" s="45">
        <f>F42*G42</f>
      </c>
      <c r="K42" s="46" t="s">
        <v>52</v>
      </c>
      <c r="Z42" s="45">
        <f>IF(AQ42="5",BJ42,0)</f>
      </c>
      <c r="AB42" s="45">
        <f>IF(AQ42="1",BH42,0)</f>
      </c>
      <c r="AC42" s="45">
        <f>IF(AQ42="1",BI42,0)</f>
      </c>
      <c r="AD42" s="45">
        <f>IF(AQ42="7",BH42,0)</f>
      </c>
      <c r="AE42" s="45">
        <f>IF(AQ42="7",BI42,0)</f>
      </c>
      <c r="AF42" s="45">
        <f>IF(AQ42="2",BH42,0)</f>
      </c>
      <c r="AG42" s="45">
        <f>IF(AQ42="2",BI42,0)</f>
      </c>
      <c r="AH42" s="45">
        <f>IF(AQ42="0",BJ42,0)</f>
      </c>
      <c r="AI42" s="28" t="s">
        <v>45</v>
      </c>
      <c r="AJ42" s="45">
        <f>IF(AN42=0,J42,0)</f>
      </c>
      <c r="AK42" s="45">
        <f>IF(AN42=12,J42,0)</f>
      </c>
      <c r="AL42" s="45">
        <f>IF(AN42=21,J42,0)</f>
      </c>
      <c r="AN42" s="45" t="n">
        <v>12</v>
      </c>
      <c r="AO42" s="45">
        <f>G42*0</f>
      </c>
      <c r="AP42" s="45">
        <f>G42*(1-0)</f>
      </c>
      <c r="AQ42" s="47" t="s">
        <v>53</v>
      </c>
      <c r="AV42" s="45">
        <f>AW42+AX42</f>
      </c>
      <c r="AW42" s="45">
        <f>F42*AO42</f>
      </c>
      <c r="AX42" s="45">
        <f>F42*AP42</f>
      </c>
      <c r="AY42" s="47" t="s">
        <v>54</v>
      </c>
      <c r="AZ42" s="47" t="s">
        <v>55</v>
      </c>
      <c r="BA42" s="28" t="s">
        <v>56</v>
      </c>
      <c r="BC42" s="45">
        <f>AW42+AX42</f>
      </c>
      <c r="BD42" s="45">
        <f>G42/(100-BE42)*100</f>
      </c>
      <c r="BE42" s="45" t="n">
        <v>0</v>
      </c>
      <c r="BF42" s="45">
        <f>42</f>
      </c>
      <c r="BH42" s="45">
        <f>F42*AO42</f>
      </c>
      <c r="BI42" s="45">
        <f>F42*AP42</f>
      </c>
      <c r="BJ42" s="45">
        <f>F42*G42</f>
      </c>
      <c r="BK42" s="45"/>
      <c r="BL42" s="45" t="n">
        <v>721</v>
      </c>
      <c r="BW42" s="45" t="n">
        <v>12</v>
      </c>
      <c r="BX42" s="14" t="s">
        <v>143</v>
      </c>
    </row>
    <row r="43">
      <c r="A43" s="9" t="s">
        <v>144</v>
      </c>
      <c r="B43" s="10" t="s">
        <v>145</v>
      </c>
      <c r="C43" s="14" t="s">
        <v>146</v>
      </c>
      <c r="D43" s="10"/>
      <c r="E43" s="10" t="s">
        <v>111</v>
      </c>
      <c r="F43" s="45" t="n">
        <v>10</v>
      </c>
      <c r="G43" s="45" t="n">
        <v>0</v>
      </c>
      <c r="H43" s="45">
        <f>F43*AO43</f>
      </c>
      <c r="I43" s="45">
        <f>F43*AP43</f>
      </c>
      <c r="J43" s="45">
        <f>F43*G43</f>
      </c>
      <c r="K43" s="46" t="s">
        <v>52</v>
      </c>
      <c r="Z43" s="45">
        <f>IF(AQ43="5",BJ43,0)</f>
      </c>
      <c r="AB43" s="45">
        <f>IF(AQ43="1",BH43,0)</f>
      </c>
      <c r="AC43" s="45">
        <f>IF(AQ43="1",BI43,0)</f>
      </c>
      <c r="AD43" s="45">
        <f>IF(AQ43="7",BH43,0)</f>
      </c>
      <c r="AE43" s="45">
        <f>IF(AQ43="7",BI43,0)</f>
      </c>
      <c r="AF43" s="45">
        <f>IF(AQ43="2",BH43,0)</f>
      </c>
      <c r="AG43" s="45">
        <f>IF(AQ43="2",BI43,0)</f>
      </c>
      <c r="AH43" s="45">
        <f>IF(AQ43="0",BJ43,0)</f>
      </c>
      <c r="AI43" s="28" t="s">
        <v>45</v>
      </c>
      <c r="AJ43" s="45">
        <f>IF(AN43=0,J43,0)</f>
      </c>
      <c r="AK43" s="45">
        <f>IF(AN43=12,J43,0)</f>
      </c>
      <c r="AL43" s="45">
        <f>IF(AN43=21,J43,0)</f>
      </c>
      <c r="AN43" s="45" t="n">
        <v>12</v>
      </c>
      <c r="AO43" s="45">
        <f>G43*0</f>
      </c>
      <c r="AP43" s="45">
        <f>G43*(1-0)</f>
      </c>
      <c r="AQ43" s="47" t="s">
        <v>53</v>
      </c>
      <c r="AV43" s="45">
        <f>AW43+AX43</f>
      </c>
      <c r="AW43" s="45">
        <f>F43*AO43</f>
      </c>
      <c r="AX43" s="45">
        <f>F43*AP43</f>
      </c>
      <c r="AY43" s="47" t="s">
        <v>54</v>
      </c>
      <c r="AZ43" s="47" t="s">
        <v>55</v>
      </c>
      <c r="BA43" s="28" t="s">
        <v>56</v>
      </c>
      <c r="BC43" s="45">
        <f>AW43+AX43</f>
      </c>
      <c r="BD43" s="45">
        <f>G43/(100-BE43)*100</f>
      </c>
      <c r="BE43" s="45" t="n">
        <v>0</v>
      </c>
      <c r="BF43" s="45">
        <f>43</f>
      </c>
      <c r="BH43" s="45">
        <f>F43*AO43</f>
      </c>
      <c r="BI43" s="45">
        <f>F43*AP43</f>
      </c>
      <c r="BJ43" s="45">
        <f>F43*G43</f>
      </c>
      <c r="BK43" s="45"/>
      <c r="BL43" s="45" t="n">
        <v>721</v>
      </c>
      <c r="BW43" s="45" t="n">
        <v>12</v>
      </c>
      <c r="BX43" s="14" t="s">
        <v>146</v>
      </c>
    </row>
    <row r="44">
      <c r="A44" s="9" t="s">
        <v>147</v>
      </c>
      <c r="B44" s="10" t="s">
        <v>148</v>
      </c>
      <c r="C44" s="14" t="s">
        <v>149</v>
      </c>
      <c r="D44" s="10"/>
      <c r="E44" s="10" t="s">
        <v>51</v>
      </c>
      <c r="F44" s="45" t="n">
        <v>443</v>
      </c>
      <c r="G44" s="45" t="n">
        <v>0</v>
      </c>
      <c r="H44" s="45">
        <f>F44*AO44</f>
      </c>
      <c r="I44" s="45">
        <f>F44*AP44</f>
      </c>
      <c r="J44" s="45">
        <f>F44*G44</f>
      </c>
      <c r="K44" s="46" t="s">
        <v>52</v>
      </c>
      <c r="Z44" s="45">
        <f>IF(AQ44="5",BJ44,0)</f>
      </c>
      <c r="AB44" s="45">
        <f>IF(AQ44="1",BH44,0)</f>
      </c>
      <c r="AC44" s="45">
        <f>IF(AQ44="1",BI44,0)</f>
      </c>
      <c r="AD44" s="45">
        <f>IF(AQ44="7",BH44,0)</f>
      </c>
      <c r="AE44" s="45">
        <f>IF(AQ44="7",BI44,0)</f>
      </c>
      <c r="AF44" s="45">
        <f>IF(AQ44="2",BH44,0)</f>
      </c>
      <c r="AG44" s="45">
        <f>IF(AQ44="2",BI44,0)</f>
      </c>
      <c r="AH44" s="45">
        <f>IF(AQ44="0",BJ44,0)</f>
      </c>
      <c r="AI44" s="28" t="s">
        <v>45</v>
      </c>
      <c r="AJ44" s="45">
        <f>IF(AN44=0,J44,0)</f>
      </c>
      <c r="AK44" s="45">
        <f>IF(AN44=12,J44,0)</f>
      </c>
      <c r="AL44" s="45">
        <f>IF(AN44=21,J44,0)</f>
      </c>
      <c r="AN44" s="45" t="n">
        <v>12</v>
      </c>
      <c r="AO44" s="45">
        <f>G44*0.090710383</f>
      </c>
      <c r="AP44" s="45">
        <f>G44*(1-0.090710383)</f>
      </c>
      <c r="AQ44" s="47" t="s">
        <v>53</v>
      </c>
      <c r="AV44" s="45">
        <f>AW44+AX44</f>
      </c>
      <c r="AW44" s="45">
        <f>F44*AO44</f>
      </c>
      <c r="AX44" s="45">
        <f>F44*AP44</f>
      </c>
      <c r="AY44" s="47" t="s">
        <v>54</v>
      </c>
      <c r="AZ44" s="47" t="s">
        <v>55</v>
      </c>
      <c r="BA44" s="28" t="s">
        <v>56</v>
      </c>
      <c r="BC44" s="45">
        <f>AW44+AX44</f>
      </c>
      <c r="BD44" s="45">
        <f>G44/(100-BE44)*100</f>
      </c>
      <c r="BE44" s="45" t="n">
        <v>0</v>
      </c>
      <c r="BF44" s="45">
        <f>44</f>
      </c>
      <c r="BH44" s="45">
        <f>F44*AO44</f>
      </c>
      <c r="BI44" s="45">
        <f>F44*AP44</f>
      </c>
      <c r="BJ44" s="45">
        <f>F44*G44</f>
      </c>
      <c r="BK44" s="45"/>
      <c r="BL44" s="45" t="n">
        <v>721</v>
      </c>
      <c r="BW44" s="45" t="n">
        <v>12</v>
      </c>
      <c r="BX44" s="14" t="s">
        <v>149</v>
      </c>
    </row>
    <row r="45">
      <c r="A45" s="9" t="s">
        <v>150</v>
      </c>
      <c r="B45" s="10" t="s">
        <v>151</v>
      </c>
      <c r="C45" s="14" t="s">
        <v>152</v>
      </c>
      <c r="D45" s="10"/>
      <c r="E45" s="10" t="s">
        <v>124</v>
      </c>
      <c r="F45" s="45" t="n">
        <v>66</v>
      </c>
      <c r="G45" s="45" t="n">
        <v>0</v>
      </c>
      <c r="H45" s="45">
        <f>F45*AO45</f>
      </c>
      <c r="I45" s="45">
        <f>F45*AP45</f>
      </c>
      <c r="J45" s="45">
        <f>F45*G45</f>
      </c>
      <c r="K45" s="46" t="s">
        <v>45</v>
      </c>
      <c r="Z45" s="45">
        <f>IF(AQ45="5",BJ45,0)</f>
      </c>
      <c r="AB45" s="45">
        <f>IF(AQ45="1",BH45,0)</f>
      </c>
      <c r="AC45" s="45">
        <f>IF(AQ45="1",BI45,0)</f>
      </c>
      <c r="AD45" s="45">
        <f>IF(AQ45="7",BH45,0)</f>
      </c>
      <c r="AE45" s="45">
        <f>IF(AQ45="7",BI45,0)</f>
      </c>
      <c r="AF45" s="45">
        <f>IF(AQ45="2",BH45,0)</f>
      </c>
      <c r="AG45" s="45">
        <f>IF(AQ45="2",BI45,0)</f>
      </c>
      <c r="AH45" s="45">
        <f>IF(AQ45="0",BJ45,0)</f>
      </c>
      <c r="AI45" s="28" t="s">
        <v>45</v>
      </c>
      <c r="AJ45" s="45">
        <f>IF(AN45=0,J45,0)</f>
      </c>
      <c r="AK45" s="45">
        <f>IF(AN45=12,J45,0)</f>
      </c>
      <c r="AL45" s="45">
        <f>IF(AN45=21,J45,0)</f>
      </c>
      <c r="AN45" s="45" t="n">
        <v>12</v>
      </c>
      <c r="AO45" s="45">
        <f>G45*0.765567766</f>
      </c>
      <c r="AP45" s="45">
        <f>G45*(1-0.765567766)</f>
      </c>
      <c r="AQ45" s="47" t="s">
        <v>53</v>
      </c>
      <c r="AV45" s="45">
        <f>AW45+AX45</f>
      </c>
      <c r="AW45" s="45">
        <f>F45*AO45</f>
      </c>
      <c r="AX45" s="45">
        <f>F45*AP45</f>
      </c>
      <c r="AY45" s="47" t="s">
        <v>54</v>
      </c>
      <c r="AZ45" s="47" t="s">
        <v>55</v>
      </c>
      <c r="BA45" s="28" t="s">
        <v>56</v>
      </c>
      <c r="BC45" s="45">
        <f>AW45+AX45</f>
      </c>
      <c r="BD45" s="45">
        <f>G45/(100-BE45)*100</f>
      </c>
      <c r="BE45" s="45" t="n">
        <v>0</v>
      </c>
      <c r="BF45" s="45">
        <f>45</f>
      </c>
      <c r="BH45" s="45">
        <f>F45*AO45</f>
      </c>
      <c r="BI45" s="45">
        <f>F45*AP45</f>
      </c>
      <c r="BJ45" s="45">
        <f>F45*G45</f>
      </c>
      <c r="BK45" s="45"/>
      <c r="BL45" s="45" t="n">
        <v>721</v>
      </c>
      <c r="BW45" s="45" t="n">
        <v>12</v>
      </c>
      <c r="BX45" s="14" t="s">
        <v>152</v>
      </c>
    </row>
    <row r="46" customHeight="true" ht="13.5">
      <c r="A46" s="48"/>
      <c r="B46" s="49" t="s">
        <v>119</v>
      </c>
      <c r="C46" s="50" t="s">
        <v>153</v>
      </c>
      <c r="D46" s="51"/>
      <c r="E46" s="51"/>
      <c r="F46" s="51"/>
      <c r="G46" s="51"/>
      <c r="H46" s="51"/>
      <c r="I46" s="51"/>
      <c r="J46" s="51"/>
      <c r="K46" s="52"/>
    </row>
    <row r="47">
      <c r="A47" s="9" t="s">
        <v>154</v>
      </c>
      <c r="B47" s="10" t="s">
        <v>155</v>
      </c>
      <c r="C47" s="14" t="s">
        <v>156</v>
      </c>
      <c r="D47" s="10"/>
      <c r="E47" s="10" t="s">
        <v>124</v>
      </c>
      <c r="F47" s="45" t="n">
        <v>66</v>
      </c>
      <c r="G47" s="45" t="n">
        <v>0</v>
      </c>
      <c r="H47" s="45">
        <f>F47*AO47</f>
      </c>
      <c r="I47" s="45">
        <f>F47*AP47</f>
      </c>
      <c r="J47" s="45">
        <f>F47*G47</f>
      </c>
      <c r="K47" s="46" t="s">
        <v>45</v>
      </c>
      <c r="Z47" s="45">
        <f>IF(AQ47="5",BJ47,0)</f>
      </c>
      <c r="AB47" s="45">
        <f>IF(AQ47="1",BH47,0)</f>
      </c>
      <c r="AC47" s="45">
        <f>IF(AQ47="1",BI47,0)</f>
      </c>
      <c r="AD47" s="45">
        <f>IF(AQ47="7",BH47,0)</f>
      </c>
      <c r="AE47" s="45">
        <f>IF(AQ47="7",BI47,0)</f>
      </c>
      <c r="AF47" s="45">
        <f>IF(AQ47="2",BH47,0)</f>
      </c>
      <c r="AG47" s="45">
        <f>IF(AQ47="2",BI47,0)</f>
      </c>
      <c r="AH47" s="45">
        <f>IF(AQ47="0",BJ47,0)</f>
      </c>
      <c r="AI47" s="28" t="s">
        <v>45</v>
      </c>
      <c r="AJ47" s="45">
        <f>IF(AN47=0,J47,0)</f>
      </c>
      <c r="AK47" s="45">
        <f>IF(AN47=12,J47,0)</f>
      </c>
      <c r="AL47" s="45">
        <f>IF(AN47=21,J47,0)</f>
      </c>
      <c r="AN47" s="45" t="n">
        <v>12</v>
      </c>
      <c r="AO47" s="45">
        <f>G47*0.779705117</f>
      </c>
      <c r="AP47" s="45">
        <f>G47*(1-0.779705117)</f>
      </c>
      <c r="AQ47" s="47" t="s">
        <v>53</v>
      </c>
      <c r="AV47" s="45">
        <f>AW47+AX47</f>
      </c>
      <c r="AW47" s="45">
        <f>F47*AO47</f>
      </c>
      <c r="AX47" s="45">
        <f>F47*AP47</f>
      </c>
      <c r="AY47" s="47" t="s">
        <v>54</v>
      </c>
      <c r="AZ47" s="47" t="s">
        <v>55</v>
      </c>
      <c r="BA47" s="28" t="s">
        <v>56</v>
      </c>
      <c r="BC47" s="45">
        <f>AW47+AX47</f>
      </c>
      <c r="BD47" s="45">
        <f>G47/(100-BE47)*100</f>
      </c>
      <c r="BE47" s="45" t="n">
        <v>0</v>
      </c>
      <c r="BF47" s="45">
        <f>47</f>
      </c>
      <c r="BH47" s="45">
        <f>F47*AO47</f>
      </c>
      <c r="BI47" s="45">
        <f>F47*AP47</f>
      </c>
      <c r="BJ47" s="45">
        <f>F47*G47</f>
      </c>
      <c r="BK47" s="45"/>
      <c r="BL47" s="45" t="n">
        <v>721</v>
      </c>
      <c r="BW47" s="45" t="n">
        <v>12</v>
      </c>
      <c r="BX47" s="14" t="s">
        <v>156</v>
      </c>
    </row>
    <row r="48" customHeight="true" ht="13.5">
      <c r="A48" s="48"/>
      <c r="B48" s="49" t="s">
        <v>119</v>
      </c>
      <c r="C48" s="50" t="s">
        <v>157</v>
      </c>
      <c r="D48" s="51"/>
      <c r="E48" s="51"/>
      <c r="F48" s="51"/>
      <c r="G48" s="51"/>
      <c r="H48" s="51"/>
      <c r="I48" s="51"/>
      <c r="J48" s="51"/>
      <c r="K48" s="52"/>
    </row>
    <row r="49" ht="24.75">
      <c r="A49" s="9" t="s">
        <v>158</v>
      </c>
      <c r="B49" s="10" t="s">
        <v>159</v>
      </c>
      <c r="C49" s="14" t="s">
        <v>160</v>
      </c>
      <c r="D49" s="10"/>
      <c r="E49" s="10" t="s">
        <v>124</v>
      </c>
      <c r="F49" s="45" t="n">
        <v>66</v>
      </c>
      <c r="G49" s="45" t="n">
        <v>0</v>
      </c>
      <c r="H49" s="45">
        <f>F49*AO49</f>
      </c>
      <c r="I49" s="45">
        <f>F49*AP49</f>
      </c>
      <c r="J49" s="45">
        <f>F49*G49</f>
      </c>
      <c r="K49" s="46" t="s">
        <v>115</v>
      </c>
      <c r="Z49" s="45">
        <f>IF(AQ49="5",BJ49,0)</f>
      </c>
      <c r="AB49" s="45">
        <f>IF(AQ49="1",BH49,0)</f>
      </c>
      <c r="AC49" s="45">
        <f>IF(AQ49="1",BI49,0)</f>
      </c>
      <c r="AD49" s="45">
        <f>IF(AQ49="7",BH49,0)</f>
      </c>
      <c r="AE49" s="45">
        <f>IF(AQ49="7",BI49,0)</f>
      </c>
      <c r="AF49" s="45">
        <f>IF(AQ49="2",BH49,0)</f>
      </c>
      <c r="AG49" s="45">
        <f>IF(AQ49="2",BI49,0)</f>
      </c>
      <c r="AH49" s="45">
        <f>IF(AQ49="0",BJ49,0)</f>
      </c>
      <c r="AI49" s="28" t="s">
        <v>45</v>
      </c>
      <c r="AJ49" s="45">
        <f>IF(AN49=0,J49,0)</f>
      </c>
      <c r="AK49" s="45">
        <f>IF(AN49=12,J49,0)</f>
      </c>
      <c r="AL49" s="45">
        <f>IF(AN49=21,J49,0)</f>
      </c>
      <c r="AN49" s="45" t="n">
        <v>12</v>
      </c>
      <c r="AO49" s="45">
        <f>G49*0</f>
      </c>
      <c r="AP49" s="45">
        <f>G49*(1-0)</f>
      </c>
      <c r="AQ49" s="47" t="s">
        <v>53</v>
      </c>
      <c r="AV49" s="45">
        <f>AW49+AX49</f>
      </c>
      <c r="AW49" s="45">
        <f>F49*AO49</f>
      </c>
      <c r="AX49" s="45">
        <f>F49*AP49</f>
      </c>
      <c r="AY49" s="47" t="s">
        <v>54</v>
      </c>
      <c r="AZ49" s="47" t="s">
        <v>55</v>
      </c>
      <c r="BA49" s="28" t="s">
        <v>56</v>
      </c>
      <c r="BC49" s="45">
        <f>AW49+AX49</f>
      </c>
      <c r="BD49" s="45">
        <f>G49/(100-BE49)*100</f>
      </c>
      <c r="BE49" s="45" t="n">
        <v>0</v>
      </c>
      <c r="BF49" s="45">
        <f>49</f>
      </c>
      <c r="BH49" s="45">
        <f>F49*AO49</f>
      </c>
      <c r="BI49" s="45">
        <f>F49*AP49</f>
      </c>
      <c r="BJ49" s="45">
        <f>F49*G49</f>
      </c>
      <c r="BK49" s="45"/>
      <c r="BL49" s="45" t="n">
        <v>721</v>
      </c>
      <c r="BW49" s="45" t="n">
        <v>12</v>
      </c>
      <c r="BX49" s="14" t="s">
        <v>160</v>
      </c>
    </row>
    <row r="50">
      <c r="A50" s="9" t="s">
        <v>161</v>
      </c>
      <c r="B50" s="10" t="s">
        <v>162</v>
      </c>
      <c r="C50" s="14" t="s">
        <v>163</v>
      </c>
      <c r="D50" s="10"/>
      <c r="E50" s="10" t="s">
        <v>51</v>
      </c>
      <c r="F50" s="45" t="n">
        <v>288</v>
      </c>
      <c r="G50" s="45" t="n">
        <v>0</v>
      </c>
      <c r="H50" s="45">
        <f>F50*AO50</f>
      </c>
      <c r="I50" s="45">
        <f>F50*AP50</f>
      </c>
      <c r="J50" s="45">
        <f>F50*G50</f>
      </c>
      <c r="K50" s="46" t="s">
        <v>52</v>
      </c>
      <c r="Z50" s="45">
        <f>IF(AQ50="5",BJ50,0)</f>
      </c>
      <c r="AB50" s="45">
        <f>IF(AQ50="1",BH50,0)</f>
      </c>
      <c r="AC50" s="45">
        <f>IF(AQ50="1",BI50,0)</f>
      </c>
      <c r="AD50" s="45">
        <f>IF(AQ50="7",BH50,0)</f>
      </c>
      <c r="AE50" s="45">
        <f>IF(AQ50="7",BI50,0)</f>
      </c>
      <c r="AF50" s="45">
        <f>IF(AQ50="2",BH50,0)</f>
      </c>
      <c r="AG50" s="45">
        <f>IF(AQ50="2",BI50,0)</f>
      </c>
      <c r="AH50" s="45">
        <f>IF(AQ50="0",BJ50,0)</f>
      </c>
      <c r="AI50" s="28" t="s">
        <v>45</v>
      </c>
      <c r="AJ50" s="45">
        <f>IF(AN50=0,J50,0)</f>
      </c>
      <c r="AK50" s="45">
        <f>IF(AN50=12,J50,0)</f>
      </c>
      <c r="AL50" s="45">
        <f>IF(AN50=21,J50,0)</f>
      </c>
      <c r="AN50" s="45" t="n">
        <v>12</v>
      </c>
      <c r="AO50" s="45">
        <f>G50*0</f>
      </c>
      <c r="AP50" s="45">
        <f>G50*(1-0)</f>
      </c>
      <c r="AQ50" s="47" t="s">
        <v>53</v>
      </c>
      <c r="AV50" s="45">
        <f>AW50+AX50</f>
      </c>
      <c r="AW50" s="45">
        <f>F50*AO50</f>
      </c>
      <c r="AX50" s="45">
        <f>F50*AP50</f>
      </c>
      <c r="AY50" s="47" t="s">
        <v>54</v>
      </c>
      <c r="AZ50" s="47" t="s">
        <v>55</v>
      </c>
      <c r="BA50" s="28" t="s">
        <v>56</v>
      </c>
      <c r="BC50" s="45">
        <f>AW50+AX50</f>
      </c>
      <c r="BD50" s="45">
        <f>G50/(100-BE50)*100</f>
      </c>
      <c r="BE50" s="45" t="n">
        <v>0</v>
      </c>
      <c r="BF50" s="45">
        <f>50</f>
      </c>
      <c r="BH50" s="45">
        <f>F50*AO50</f>
      </c>
      <c r="BI50" s="45">
        <f>F50*AP50</f>
      </c>
      <c r="BJ50" s="45">
        <f>F50*G50</f>
      </c>
      <c r="BK50" s="45"/>
      <c r="BL50" s="45" t="n">
        <v>721</v>
      </c>
      <c r="BW50" s="45" t="n">
        <v>12</v>
      </c>
      <c r="BX50" s="14" t="s">
        <v>163</v>
      </c>
    </row>
    <row r="51">
      <c r="A51" s="9" t="s">
        <v>164</v>
      </c>
      <c r="B51" s="10" t="s">
        <v>165</v>
      </c>
      <c r="C51" s="14" t="s">
        <v>166</v>
      </c>
      <c r="D51" s="10"/>
      <c r="E51" s="10" t="s">
        <v>167</v>
      </c>
      <c r="F51" s="45" t="n">
        <v>9.2663</v>
      </c>
      <c r="G51" s="45" t="n">
        <v>0</v>
      </c>
      <c r="H51" s="45">
        <f>F51*AO51</f>
      </c>
      <c r="I51" s="45">
        <f>F51*AP51</f>
      </c>
      <c r="J51" s="45">
        <f>F51*G51</f>
      </c>
      <c r="K51" s="46" t="s">
        <v>52</v>
      </c>
      <c r="Z51" s="45">
        <f>IF(AQ51="5",BJ51,0)</f>
      </c>
      <c r="AB51" s="45">
        <f>IF(AQ51="1",BH51,0)</f>
      </c>
      <c r="AC51" s="45">
        <f>IF(AQ51="1",BI51,0)</f>
      </c>
      <c r="AD51" s="45">
        <f>IF(AQ51="7",BH51,0)</f>
      </c>
      <c r="AE51" s="45">
        <f>IF(AQ51="7",BI51,0)</f>
      </c>
      <c r="AF51" s="45">
        <f>IF(AQ51="2",BH51,0)</f>
      </c>
      <c r="AG51" s="45">
        <f>IF(AQ51="2",BI51,0)</f>
      </c>
      <c r="AH51" s="45">
        <f>IF(AQ51="0",BJ51,0)</f>
      </c>
      <c r="AI51" s="28" t="s">
        <v>45</v>
      </c>
      <c r="AJ51" s="45">
        <f>IF(AN51=0,J51,0)</f>
      </c>
      <c r="AK51" s="45">
        <f>IF(AN51=12,J51,0)</f>
      </c>
      <c r="AL51" s="45">
        <f>IF(AN51=21,J51,0)</f>
      </c>
      <c r="AN51" s="45" t="n">
        <v>12</v>
      </c>
      <c r="AO51" s="45">
        <f>G51*0</f>
      </c>
      <c r="AP51" s="45">
        <f>G51*(1-0)</f>
      </c>
      <c r="AQ51" s="47" t="s">
        <v>66</v>
      </c>
      <c r="AV51" s="45">
        <f>AW51+AX51</f>
      </c>
      <c r="AW51" s="45">
        <f>F51*AO51</f>
      </c>
      <c r="AX51" s="45">
        <f>F51*AP51</f>
      </c>
      <c r="AY51" s="47" t="s">
        <v>54</v>
      </c>
      <c r="AZ51" s="47" t="s">
        <v>55</v>
      </c>
      <c r="BA51" s="28" t="s">
        <v>56</v>
      </c>
      <c r="BC51" s="45">
        <f>AW51+AX51</f>
      </c>
      <c r="BD51" s="45">
        <f>G51/(100-BE51)*100</f>
      </c>
      <c r="BE51" s="45" t="n">
        <v>0</v>
      </c>
      <c r="BF51" s="45">
        <f>51</f>
      </c>
      <c r="BH51" s="45">
        <f>F51*AO51</f>
      </c>
      <c r="BI51" s="45">
        <f>F51*AP51</f>
      </c>
      <c r="BJ51" s="45">
        <f>F51*G51</f>
      </c>
      <c r="BK51" s="45"/>
      <c r="BL51" s="45" t="n">
        <v>721</v>
      </c>
      <c r="BW51" s="45" t="n">
        <v>12</v>
      </c>
      <c r="BX51" s="14" t="s">
        <v>166</v>
      </c>
    </row>
    <row r="52">
      <c r="A52" s="53" t="s">
        <v>45</v>
      </c>
      <c r="B52" s="54" t="s">
        <v>168</v>
      </c>
      <c r="C52" s="55" t="s">
        <v>169</v>
      </c>
      <c r="D52" s="54"/>
      <c r="E52" s="56" t="s">
        <v>2</v>
      </c>
      <c r="F52" s="56" t="s">
        <v>2</v>
      </c>
      <c r="G52" s="56" t="s">
        <v>2</v>
      </c>
      <c r="H52" s="2">
        <f>SUM(H53:H105)</f>
      </c>
      <c r="I52" s="2">
        <f>SUM(I53:I105)</f>
      </c>
      <c r="J52" s="2">
        <f>SUM(J53:J105)</f>
      </c>
      <c r="K52" s="57" t="s">
        <v>45</v>
      </c>
      <c r="AI52" s="28" t="s">
        <v>45</v>
      </c>
      <c r="AS52" s="2">
        <f>SUM(AJ53:AJ105)</f>
      </c>
      <c r="AT52" s="2">
        <f>SUM(AK53:AK105)</f>
      </c>
      <c r="AU52" s="2">
        <f>SUM(AL53:AL105)</f>
      </c>
    </row>
    <row r="53">
      <c r="A53" s="9" t="s">
        <v>170</v>
      </c>
      <c r="B53" s="10" t="s">
        <v>171</v>
      </c>
      <c r="C53" s="14" t="s">
        <v>172</v>
      </c>
      <c r="D53" s="10"/>
      <c r="E53" s="10" t="s">
        <v>51</v>
      </c>
      <c r="F53" s="45" t="n">
        <v>328</v>
      </c>
      <c r="G53" s="45" t="n">
        <v>0</v>
      </c>
      <c r="H53" s="45">
        <f>F53*AO53</f>
      </c>
      <c r="I53" s="45">
        <f>F53*AP53</f>
      </c>
      <c r="J53" s="45">
        <f>F53*G53</f>
      </c>
      <c r="K53" s="46" t="s">
        <v>52</v>
      </c>
      <c r="Z53" s="45">
        <f>IF(AQ53="5",BJ53,0)</f>
      </c>
      <c r="AB53" s="45">
        <f>IF(AQ53="1",BH53,0)</f>
      </c>
      <c r="AC53" s="45">
        <f>IF(AQ53="1",BI53,0)</f>
      </c>
      <c r="AD53" s="45">
        <f>IF(AQ53="7",BH53,0)</f>
      </c>
      <c r="AE53" s="45">
        <f>IF(AQ53="7",BI53,0)</f>
      </c>
      <c r="AF53" s="45">
        <f>IF(AQ53="2",BH53,0)</f>
      </c>
      <c r="AG53" s="45">
        <f>IF(AQ53="2",BI53,0)</f>
      </c>
      <c r="AH53" s="45">
        <f>IF(AQ53="0",BJ53,0)</f>
      </c>
      <c r="AI53" s="28" t="s">
        <v>45</v>
      </c>
      <c r="AJ53" s="45">
        <f>IF(AN53=0,J53,0)</f>
      </c>
      <c r="AK53" s="45">
        <f>IF(AN53=12,J53,0)</f>
      </c>
      <c r="AL53" s="45">
        <f>IF(AN53=21,J53,0)</f>
      </c>
      <c r="AN53" s="45" t="n">
        <v>12</v>
      </c>
      <c r="AO53" s="45">
        <f>G53*0.372290993</f>
      </c>
      <c r="AP53" s="45">
        <f>G53*(1-0.372290993)</f>
      </c>
      <c r="AQ53" s="47" t="s">
        <v>53</v>
      </c>
      <c r="AV53" s="45">
        <f>AW53+AX53</f>
      </c>
      <c r="AW53" s="45">
        <f>F53*AO53</f>
      </c>
      <c r="AX53" s="45">
        <f>F53*AP53</f>
      </c>
      <c r="AY53" s="47" t="s">
        <v>173</v>
      </c>
      <c r="AZ53" s="47" t="s">
        <v>55</v>
      </c>
      <c r="BA53" s="28" t="s">
        <v>56</v>
      </c>
      <c r="BC53" s="45">
        <f>AW53+AX53</f>
      </c>
      <c r="BD53" s="45">
        <f>G53/(100-BE53)*100</f>
      </c>
      <c r="BE53" s="45" t="n">
        <v>0</v>
      </c>
      <c r="BF53" s="45">
        <f>53</f>
      </c>
      <c r="BH53" s="45">
        <f>F53*AO53</f>
      </c>
      <c r="BI53" s="45">
        <f>F53*AP53</f>
      </c>
      <c r="BJ53" s="45">
        <f>F53*G53</f>
      </c>
      <c r="BK53" s="45"/>
      <c r="BL53" s="45" t="n">
        <v>722</v>
      </c>
      <c r="BW53" s="45" t="n">
        <v>12</v>
      </c>
      <c r="BX53" s="14" t="s">
        <v>172</v>
      </c>
    </row>
    <row r="54">
      <c r="A54" s="9" t="s">
        <v>174</v>
      </c>
      <c r="B54" s="10" t="s">
        <v>175</v>
      </c>
      <c r="C54" s="14" t="s">
        <v>176</v>
      </c>
      <c r="D54" s="10"/>
      <c r="E54" s="10" t="s">
        <v>51</v>
      </c>
      <c r="F54" s="45" t="n">
        <v>245</v>
      </c>
      <c r="G54" s="45" t="n">
        <v>0</v>
      </c>
      <c r="H54" s="45">
        <f>F54*AO54</f>
      </c>
      <c r="I54" s="45">
        <f>F54*AP54</f>
      </c>
      <c r="J54" s="45">
        <f>F54*G54</f>
      </c>
      <c r="K54" s="46" t="s">
        <v>52</v>
      </c>
      <c r="Z54" s="45">
        <f>IF(AQ54="5",BJ54,0)</f>
      </c>
      <c r="AB54" s="45">
        <f>IF(AQ54="1",BH54,0)</f>
      </c>
      <c r="AC54" s="45">
        <f>IF(AQ54="1",BI54,0)</f>
      </c>
      <c r="AD54" s="45">
        <f>IF(AQ54="7",BH54,0)</f>
      </c>
      <c r="AE54" s="45">
        <f>IF(AQ54="7",BI54,0)</f>
      </c>
      <c r="AF54" s="45">
        <f>IF(AQ54="2",BH54,0)</f>
      </c>
      <c r="AG54" s="45">
        <f>IF(AQ54="2",BI54,0)</f>
      </c>
      <c r="AH54" s="45">
        <f>IF(AQ54="0",BJ54,0)</f>
      </c>
      <c r="AI54" s="28" t="s">
        <v>45</v>
      </c>
      <c r="AJ54" s="45">
        <f>IF(AN54=0,J54,0)</f>
      </c>
      <c r="AK54" s="45">
        <f>IF(AN54=12,J54,0)</f>
      </c>
      <c r="AL54" s="45">
        <f>IF(AN54=21,J54,0)</f>
      </c>
      <c r="AN54" s="45" t="n">
        <v>12</v>
      </c>
      <c r="AO54" s="45">
        <f>G54*0.433787226</f>
      </c>
      <c r="AP54" s="45">
        <f>G54*(1-0.433787226)</f>
      </c>
      <c r="AQ54" s="47" t="s">
        <v>53</v>
      </c>
      <c r="AV54" s="45">
        <f>AW54+AX54</f>
      </c>
      <c r="AW54" s="45">
        <f>F54*AO54</f>
      </c>
      <c r="AX54" s="45">
        <f>F54*AP54</f>
      </c>
      <c r="AY54" s="47" t="s">
        <v>173</v>
      </c>
      <c r="AZ54" s="47" t="s">
        <v>55</v>
      </c>
      <c r="BA54" s="28" t="s">
        <v>56</v>
      </c>
      <c r="BC54" s="45">
        <f>AW54+AX54</f>
      </c>
      <c r="BD54" s="45">
        <f>G54/(100-BE54)*100</f>
      </c>
      <c r="BE54" s="45" t="n">
        <v>0</v>
      </c>
      <c r="BF54" s="45">
        <f>54</f>
      </c>
      <c r="BH54" s="45">
        <f>F54*AO54</f>
      </c>
      <c r="BI54" s="45">
        <f>F54*AP54</f>
      </c>
      <c r="BJ54" s="45">
        <f>F54*G54</f>
      </c>
      <c r="BK54" s="45"/>
      <c r="BL54" s="45" t="n">
        <v>722</v>
      </c>
      <c r="BW54" s="45" t="n">
        <v>12</v>
      </c>
      <c r="BX54" s="14" t="s">
        <v>176</v>
      </c>
    </row>
    <row r="55">
      <c r="A55" s="9" t="s">
        <v>177</v>
      </c>
      <c r="B55" s="10" t="s">
        <v>178</v>
      </c>
      <c r="C55" s="14" t="s">
        <v>179</v>
      </c>
      <c r="D55" s="10"/>
      <c r="E55" s="10" t="s">
        <v>51</v>
      </c>
      <c r="F55" s="45" t="n">
        <v>42</v>
      </c>
      <c r="G55" s="45" t="n">
        <v>0</v>
      </c>
      <c r="H55" s="45">
        <f>F55*AO55</f>
      </c>
      <c r="I55" s="45">
        <f>F55*AP55</f>
      </c>
      <c r="J55" s="45">
        <f>F55*G55</f>
      </c>
      <c r="K55" s="46" t="s">
        <v>52</v>
      </c>
      <c r="Z55" s="45">
        <f>IF(AQ55="5",BJ55,0)</f>
      </c>
      <c r="AB55" s="45">
        <f>IF(AQ55="1",BH55,0)</f>
      </c>
      <c r="AC55" s="45">
        <f>IF(AQ55="1",BI55,0)</f>
      </c>
      <c r="AD55" s="45">
        <f>IF(AQ55="7",BH55,0)</f>
      </c>
      <c r="AE55" s="45">
        <f>IF(AQ55="7",BI55,0)</f>
      </c>
      <c r="AF55" s="45">
        <f>IF(AQ55="2",BH55,0)</f>
      </c>
      <c r="AG55" s="45">
        <f>IF(AQ55="2",BI55,0)</f>
      </c>
      <c r="AH55" s="45">
        <f>IF(AQ55="0",BJ55,0)</f>
      </c>
      <c r="AI55" s="28" t="s">
        <v>45</v>
      </c>
      <c r="AJ55" s="45">
        <f>IF(AN55=0,J55,0)</f>
      </c>
      <c r="AK55" s="45">
        <f>IF(AN55=12,J55,0)</f>
      </c>
      <c r="AL55" s="45">
        <f>IF(AN55=21,J55,0)</f>
      </c>
      <c r="AN55" s="45" t="n">
        <v>12</v>
      </c>
      <c r="AO55" s="45">
        <f>G55*0.529508197</f>
      </c>
      <c r="AP55" s="45">
        <f>G55*(1-0.529508197)</f>
      </c>
      <c r="AQ55" s="47" t="s">
        <v>53</v>
      </c>
      <c r="AV55" s="45">
        <f>AW55+AX55</f>
      </c>
      <c r="AW55" s="45">
        <f>F55*AO55</f>
      </c>
      <c r="AX55" s="45">
        <f>F55*AP55</f>
      </c>
      <c r="AY55" s="47" t="s">
        <v>173</v>
      </c>
      <c r="AZ55" s="47" t="s">
        <v>55</v>
      </c>
      <c r="BA55" s="28" t="s">
        <v>56</v>
      </c>
      <c r="BC55" s="45">
        <f>AW55+AX55</f>
      </c>
      <c r="BD55" s="45">
        <f>G55/(100-BE55)*100</f>
      </c>
      <c r="BE55" s="45" t="n">
        <v>0</v>
      </c>
      <c r="BF55" s="45">
        <f>55</f>
      </c>
      <c r="BH55" s="45">
        <f>F55*AO55</f>
      </c>
      <c r="BI55" s="45">
        <f>F55*AP55</f>
      </c>
      <c r="BJ55" s="45">
        <f>F55*G55</f>
      </c>
      <c r="BK55" s="45"/>
      <c r="BL55" s="45" t="n">
        <v>722</v>
      </c>
      <c r="BW55" s="45" t="n">
        <v>12</v>
      </c>
      <c r="BX55" s="14" t="s">
        <v>179</v>
      </c>
    </row>
    <row r="56">
      <c r="A56" s="9" t="s">
        <v>180</v>
      </c>
      <c r="B56" s="10" t="s">
        <v>181</v>
      </c>
      <c r="C56" s="14" t="s">
        <v>182</v>
      </c>
      <c r="D56" s="10"/>
      <c r="E56" s="10" t="s">
        <v>51</v>
      </c>
      <c r="F56" s="45" t="n">
        <v>162</v>
      </c>
      <c r="G56" s="45" t="n">
        <v>0</v>
      </c>
      <c r="H56" s="45">
        <f>F56*AO56</f>
      </c>
      <c r="I56" s="45">
        <f>F56*AP56</f>
      </c>
      <c r="J56" s="45">
        <f>F56*G56</f>
      </c>
      <c r="K56" s="46" t="s">
        <v>52</v>
      </c>
      <c r="Z56" s="45">
        <f>IF(AQ56="5",BJ56,0)</f>
      </c>
      <c r="AB56" s="45">
        <f>IF(AQ56="1",BH56,0)</f>
      </c>
      <c r="AC56" s="45">
        <f>IF(AQ56="1",BI56,0)</f>
      </c>
      <c r="AD56" s="45">
        <f>IF(AQ56="7",BH56,0)</f>
      </c>
      <c r="AE56" s="45">
        <f>IF(AQ56="7",BI56,0)</f>
      </c>
      <c r="AF56" s="45">
        <f>IF(AQ56="2",BH56,0)</f>
      </c>
      <c r="AG56" s="45">
        <f>IF(AQ56="2",BI56,0)</f>
      </c>
      <c r="AH56" s="45">
        <f>IF(AQ56="0",BJ56,0)</f>
      </c>
      <c r="AI56" s="28" t="s">
        <v>45</v>
      </c>
      <c r="AJ56" s="45">
        <f>IF(AN56=0,J56,0)</f>
      </c>
      <c r="AK56" s="45">
        <f>IF(AN56=12,J56,0)</f>
      </c>
      <c r="AL56" s="45">
        <f>IF(AN56=21,J56,0)</f>
      </c>
      <c r="AN56" s="45" t="n">
        <v>12</v>
      </c>
      <c r="AO56" s="45">
        <f>G56*0.646027397</f>
      </c>
      <c r="AP56" s="45">
        <f>G56*(1-0.646027397)</f>
      </c>
      <c r="AQ56" s="47" t="s">
        <v>53</v>
      </c>
      <c r="AV56" s="45">
        <f>AW56+AX56</f>
      </c>
      <c r="AW56" s="45">
        <f>F56*AO56</f>
      </c>
      <c r="AX56" s="45">
        <f>F56*AP56</f>
      </c>
      <c r="AY56" s="47" t="s">
        <v>173</v>
      </c>
      <c r="AZ56" s="47" t="s">
        <v>55</v>
      </c>
      <c r="BA56" s="28" t="s">
        <v>56</v>
      </c>
      <c r="BC56" s="45">
        <f>AW56+AX56</f>
      </c>
      <c r="BD56" s="45">
        <f>G56/(100-BE56)*100</f>
      </c>
      <c r="BE56" s="45" t="n">
        <v>0</v>
      </c>
      <c r="BF56" s="45">
        <f>56</f>
      </c>
      <c r="BH56" s="45">
        <f>F56*AO56</f>
      </c>
      <c r="BI56" s="45">
        <f>F56*AP56</f>
      </c>
      <c r="BJ56" s="45">
        <f>F56*G56</f>
      </c>
      <c r="BK56" s="45"/>
      <c r="BL56" s="45" t="n">
        <v>722</v>
      </c>
      <c r="BW56" s="45" t="n">
        <v>12</v>
      </c>
      <c r="BX56" s="14" t="s">
        <v>182</v>
      </c>
    </row>
    <row r="57">
      <c r="A57" s="9" t="s">
        <v>183</v>
      </c>
      <c r="B57" s="10" t="s">
        <v>184</v>
      </c>
      <c r="C57" s="14" t="s">
        <v>185</v>
      </c>
      <c r="D57" s="10"/>
      <c r="E57" s="10" t="s">
        <v>51</v>
      </c>
      <c r="F57" s="45" t="n">
        <v>16</v>
      </c>
      <c r="G57" s="45" t="n">
        <v>0</v>
      </c>
      <c r="H57" s="45">
        <f>F57*AO57</f>
      </c>
      <c r="I57" s="45">
        <f>F57*AP57</f>
      </c>
      <c r="J57" s="45">
        <f>F57*G57</f>
      </c>
      <c r="K57" s="46" t="s">
        <v>52</v>
      </c>
      <c r="Z57" s="45">
        <f>IF(AQ57="5",BJ57,0)</f>
      </c>
      <c r="AB57" s="45">
        <f>IF(AQ57="1",BH57,0)</f>
      </c>
      <c r="AC57" s="45">
        <f>IF(AQ57="1",BI57,0)</f>
      </c>
      <c r="AD57" s="45">
        <f>IF(AQ57="7",BH57,0)</f>
      </c>
      <c r="AE57" s="45">
        <f>IF(AQ57="7",BI57,0)</f>
      </c>
      <c r="AF57" s="45">
        <f>IF(AQ57="2",BH57,0)</f>
      </c>
      <c r="AG57" s="45">
        <f>IF(AQ57="2",BI57,0)</f>
      </c>
      <c r="AH57" s="45">
        <f>IF(AQ57="0",BJ57,0)</f>
      </c>
      <c r="AI57" s="28" t="s">
        <v>45</v>
      </c>
      <c r="AJ57" s="45">
        <f>IF(AN57=0,J57,0)</f>
      </c>
      <c r="AK57" s="45">
        <f>IF(AN57=12,J57,0)</f>
      </c>
      <c r="AL57" s="45">
        <f>IF(AN57=21,J57,0)</f>
      </c>
      <c r="AN57" s="45" t="n">
        <v>12</v>
      </c>
      <c r="AO57" s="45">
        <f>G57*0.616613546</f>
      </c>
      <c r="AP57" s="45">
        <f>G57*(1-0.616613546)</f>
      </c>
      <c r="AQ57" s="47" t="s">
        <v>53</v>
      </c>
      <c r="AV57" s="45">
        <f>AW57+AX57</f>
      </c>
      <c r="AW57" s="45">
        <f>F57*AO57</f>
      </c>
      <c r="AX57" s="45">
        <f>F57*AP57</f>
      </c>
      <c r="AY57" s="47" t="s">
        <v>173</v>
      </c>
      <c r="AZ57" s="47" t="s">
        <v>55</v>
      </c>
      <c r="BA57" s="28" t="s">
        <v>56</v>
      </c>
      <c r="BC57" s="45">
        <f>AW57+AX57</f>
      </c>
      <c r="BD57" s="45">
        <f>G57/(100-BE57)*100</f>
      </c>
      <c r="BE57" s="45" t="n">
        <v>0</v>
      </c>
      <c r="BF57" s="45">
        <f>57</f>
      </c>
      <c r="BH57" s="45">
        <f>F57*AO57</f>
      </c>
      <c r="BI57" s="45">
        <f>F57*AP57</f>
      </c>
      <c r="BJ57" s="45">
        <f>F57*G57</f>
      </c>
      <c r="BK57" s="45"/>
      <c r="BL57" s="45" t="n">
        <v>722</v>
      </c>
      <c r="BW57" s="45" t="n">
        <v>12</v>
      </c>
      <c r="BX57" s="14" t="s">
        <v>185</v>
      </c>
    </row>
    <row r="58">
      <c r="A58" s="9" t="s">
        <v>186</v>
      </c>
      <c r="B58" s="10" t="s">
        <v>187</v>
      </c>
      <c r="C58" s="14" t="s">
        <v>188</v>
      </c>
      <c r="D58" s="10"/>
      <c r="E58" s="10" t="s">
        <v>51</v>
      </c>
      <c r="F58" s="45" t="n">
        <v>328</v>
      </c>
      <c r="G58" s="45" t="n">
        <v>0</v>
      </c>
      <c r="H58" s="45">
        <f>F58*AO58</f>
      </c>
      <c r="I58" s="45">
        <f>F58*AP58</f>
      </c>
      <c r="J58" s="45">
        <f>F58*G58</f>
      </c>
      <c r="K58" s="46" t="s">
        <v>52</v>
      </c>
      <c r="Z58" s="45">
        <f>IF(AQ58="5",BJ58,0)</f>
      </c>
      <c r="AB58" s="45">
        <f>IF(AQ58="1",BH58,0)</f>
      </c>
      <c r="AC58" s="45">
        <f>IF(AQ58="1",BI58,0)</f>
      </c>
      <c r="AD58" s="45">
        <f>IF(AQ58="7",BH58,0)</f>
      </c>
      <c r="AE58" s="45">
        <f>IF(AQ58="7",BI58,0)</f>
      </c>
      <c r="AF58" s="45">
        <f>IF(AQ58="2",BH58,0)</f>
      </c>
      <c r="AG58" s="45">
        <f>IF(AQ58="2",BI58,0)</f>
      </c>
      <c r="AH58" s="45">
        <f>IF(AQ58="0",BJ58,0)</f>
      </c>
      <c r="AI58" s="28" t="s">
        <v>45</v>
      </c>
      <c r="AJ58" s="45">
        <f>IF(AN58=0,J58,0)</f>
      </c>
      <c r="AK58" s="45">
        <f>IF(AN58=12,J58,0)</f>
      </c>
      <c r="AL58" s="45">
        <f>IF(AN58=21,J58,0)</f>
      </c>
      <c r="AN58" s="45" t="n">
        <v>12</v>
      </c>
      <c r="AO58" s="45">
        <f>G58*0.399315254</f>
      </c>
      <c r="AP58" s="45">
        <f>G58*(1-0.399315254)</f>
      </c>
      <c r="AQ58" s="47" t="s">
        <v>53</v>
      </c>
      <c r="AV58" s="45">
        <f>AW58+AX58</f>
      </c>
      <c r="AW58" s="45">
        <f>F58*AO58</f>
      </c>
      <c r="AX58" s="45">
        <f>F58*AP58</f>
      </c>
      <c r="AY58" s="47" t="s">
        <v>173</v>
      </c>
      <c r="AZ58" s="47" t="s">
        <v>55</v>
      </c>
      <c r="BA58" s="28" t="s">
        <v>56</v>
      </c>
      <c r="BC58" s="45">
        <f>AW58+AX58</f>
      </c>
      <c r="BD58" s="45">
        <f>G58/(100-BE58)*100</f>
      </c>
      <c r="BE58" s="45" t="n">
        <v>0</v>
      </c>
      <c r="BF58" s="45">
        <f>58</f>
      </c>
      <c r="BH58" s="45">
        <f>F58*AO58</f>
      </c>
      <c r="BI58" s="45">
        <f>F58*AP58</f>
      </c>
      <c r="BJ58" s="45">
        <f>F58*G58</f>
      </c>
      <c r="BK58" s="45"/>
      <c r="BL58" s="45" t="n">
        <v>722</v>
      </c>
      <c r="BW58" s="45" t="n">
        <v>12</v>
      </c>
      <c r="BX58" s="14" t="s">
        <v>188</v>
      </c>
    </row>
    <row r="59">
      <c r="A59" s="9" t="s">
        <v>189</v>
      </c>
      <c r="B59" s="10" t="s">
        <v>190</v>
      </c>
      <c r="C59" s="14" t="s">
        <v>191</v>
      </c>
      <c r="D59" s="10"/>
      <c r="E59" s="10" t="s">
        <v>51</v>
      </c>
      <c r="F59" s="45" t="n">
        <v>245</v>
      </c>
      <c r="G59" s="45" t="n">
        <v>0</v>
      </c>
      <c r="H59" s="45">
        <f>F59*AO59</f>
      </c>
      <c r="I59" s="45">
        <f>F59*AP59</f>
      </c>
      <c r="J59" s="45">
        <f>F59*G59</f>
      </c>
      <c r="K59" s="46" t="s">
        <v>52</v>
      </c>
      <c r="Z59" s="45">
        <f>IF(AQ59="5",BJ59,0)</f>
      </c>
      <c r="AB59" s="45">
        <f>IF(AQ59="1",BH59,0)</f>
      </c>
      <c r="AC59" s="45">
        <f>IF(AQ59="1",BI59,0)</f>
      </c>
      <c r="AD59" s="45">
        <f>IF(AQ59="7",BH59,0)</f>
      </c>
      <c r="AE59" s="45">
        <f>IF(AQ59="7",BI59,0)</f>
      </c>
      <c r="AF59" s="45">
        <f>IF(AQ59="2",BH59,0)</f>
      </c>
      <c r="AG59" s="45">
        <f>IF(AQ59="2",BI59,0)</f>
      </c>
      <c r="AH59" s="45">
        <f>IF(AQ59="0",BJ59,0)</f>
      </c>
      <c r="AI59" s="28" t="s">
        <v>45</v>
      </c>
      <c r="AJ59" s="45">
        <f>IF(AN59=0,J59,0)</f>
      </c>
      <c r="AK59" s="45">
        <f>IF(AN59=12,J59,0)</f>
      </c>
      <c r="AL59" s="45">
        <f>IF(AN59=21,J59,0)</f>
      </c>
      <c r="AN59" s="45" t="n">
        <v>12</v>
      </c>
      <c r="AO59" s="45">
        <f>G59*0.427676195</f>
      </c>
      <c r="AP59" s="45">
        <f>G59*(1-0.427676195)</f>
      </c>
      <c r="AQ59" s="47" t="s">
        <v>53</v>
      </c>
      <c r="AV59" s="45">
        <f>AW59+AX59</f>
      </c>
      <c r="AW59" s="45">
        <f>F59*AO59</f>
      </c>
      <c r="AX59" s="45">
        <f>F59*AP59</f>
      </c>
      <c r="AY59" s="47" t="s">
        <v>173</v>
      </c>
      <c r="AZ59" s="47" t="s">
        <v>55</v>
      </c>
      <c r="BA59" s="28" t="s">
        <v>56</v>
      </c>
      <c r="BC59" s="45">
        <f>AW59+AX59</f>
      </c>
      <c r="BD59" s="45">
        <f>G59/(100-BE59)*100</f>
      </c>
      <c r="BE59" s="45" t="n">
        <v>0</v>
      </c>
      <c r="BF59" s="45">
        <f>59</f>
      </c>
      <c r="BH59" s="45">
        <f>F59*AO59</f>
      </c>
      <c r="BI59" s="45">
        <f>F59*AP59</f>
      </c>
      <c r="BJ59" s="45">
        <f>F59*G59</f>
      </c>
      <c r="BK59" s="45"/>
      <c r="BL59" s="45" t="n">
        <v>722</v>
      </c>
      <c r="BW59" s="45" t="n">
        <v>12</v>
      </c>
      <c r="BX59" s="14" t="s">
        <v>191</v>
      </c>
    </row>
    <row r="60">
      <c r="A60" s="9" t="s">
        <v>192</v>
      </c>
      <c r="B60" s="10" t="s">
        <v>193</v>
      </c>
      <c r="C60" s="14" t="s">
        <v>194</v>
      </c>
      <c r="D60" s="10"/>
      <c r="E60" s="10" t="s">
        <v>51</v>
      </c>
      <c r="F60" s="45" t="n">
        <v>42</v>
      </c>
      <c r="G60" s="45" t="n">
        <v>0</v>
      </c>
      <c r="H60" s="45">
        <f>F60*AO60</f>
      </c>
      <c r="I60" s="45">
        <f>F60*AP60</f>
      </c>
      <c r="J60" s="45">
        <f>F60*G60</f>
      </c>
      <c r="K60" s="46" t="s">
        <v>52</v>
      </c>
      <c r="Z60" s="45">
        <f>IF(AQ60="5",BJ60,0)</f>
      </c>
      <c r="AB60" s="45">
        <f>IF(AQ60="1",BH60,0)</f>
      </c>
      <c r="AC60" s="45">
        <f>IF(AQ60="1",BI60,0)</f>
      </c>
      <c r="AD60" s="45">
        <f>IF(AQ60="7",BH60,0)</f>
      </c>
      <c r="AE60" s="45">
        <f>IF(AQ60="7",BI60,0)</f>
      </c>
      <c r="AF60" s="45">
        <f>IF(AQ60="2",BH60,0)</f>
      </c>
      <c r="AG60" s="45">
        <f>IF(AQ60="2",BI60,0)</f>
      </c>
      <c r="AH60" s="45">
        <f>IF(AQ60="0",BJ60,0)</f>
      </c>
      <c r="AI60" s="28" t="s">
        <v>45</v>
      </c>
      <c r="AJ60" s="45">
        <f>IF(AN60=0,J60,0)</f>
      </c>
      <c r="AK60" s="45">
        <f>IF(AN60=12,J60,0)</f>
      </c>
      <c r="AL60" s="45">
        <f>IF(AN60=21,J60,0)</f>
      </c>
      <c r="AN60" s="45" t="n">
        <v>12</v>
      </c>
      <c r="AO60" s="45">
        <f>G60*0.435461538</f>
      </c>
      <c r="AP60" s="45">
        <f>G60*(1-0.435461538)</f>
      </c>
      <c r="AQ60" s="47" t="s">
        <v>53</v>
      </c>
      <c r="AV60" s="45">
        <f>AW60+AX60</f>
      </c>
      <c r="AW60" s="45">
        <f>F60*AO60</f>
      </c>
      <c r="AX60" s="45">
        <f>F60*AP60</f>
      </c>
      <c r="AY60" s="47" t="s">
        <v>173</v>
      </c>
      <c r="AZ60" s="47" t="s">
        <v>55</v>
      </c>
      <c r="BA60" s="28" t="s">
        <v>56</v>
      </c>
      <c r="BC60" s="45">
        <f>AW60+AX60</f>
      </c>
      <c r="BD60" s="45">
        <f>G60/(100-BE60)*100</f>
      </c>
      <c r="BE60" s="45" t="n">
        <v>0</v>
      </c>
      <c r="BF60" s="45">
        <f>60</f>
      </c>
      <c r="BH60" s="45">
        <f>F60*AO60</f>
      </c>
      <c r="BI60" s="45">
        <f>F60*AP60</f>
      </c>
      <c r="BJ60" s="45">
        <f>F60*G60</f>
      </c>
      <c r="BK60" s="45"/>
      <c r="BL60" s="45" t="n">
        <v>722</v>
      </c>
      <c r="BW60" s="45" t="n">
        <v>12</v>
      </c>
      <c r="BX60" s="14" t="s">
        <v>194</v>
      </c>
    </row>
    <row r="61">
      <c r="A61" s="9" t="s">
        <v>195</v>
      </c>
      <c r="B61" s="10" t="s">
        <v>196</v>
      </c>
      <c r="C61" s="14" t="s">
        <v>197</v>
      </c>
      <c r="D61" s="10"/>
      <c r="E61" s="10" t="s">
        <v>51</v>
      </c>
      <c r="F61" s="45" t="n">
        <v>162</v>
      </c>
      <c r="G61" s="45" t="n">
        <v>0</v>
      </c>
      <c r="H61" s="45">
        <f>F61*AO61</f>
      </c>
      <c r="I61" s="45">
        <f>F61*AP61</f>
      </c>
      <c r="J61" s="45">
        <f>F61*G61</f>
      </c>
      <c r="K61" s="46" t="s">
        <v>52</v>
      </c>
      <c r="Z61" s="45">
        <f>IF(AQ61="5",BJ61,0)</f>
      </c>
      <c r="AB61" s="45">
        <f>IF(AQ61="1",BH61,0)</f>
      </c>
      <c r="AC61" s="45">
        <f>IF(AQ61="1",BI61,0)</f>
      </c>
      <c r="AD61" s="45">
        <f>IF(AQ61="7",BH61,0)</f>
      </c>
      <c r="AE61" s="45">
        <f>IF(AQ61="7",BI61,0)</f>
      </c>
      <c r="AF61" s="45">
        <f>IF(AQ61="2",BH61,0)</f>
      </c>
      <c r="AG61" s="45">
        <f>IF(AQ61="2",BI61,0)</f>
      </c>
      <c r="AH61" s="45">
        <f>IF(AQ61="0",BJ61,0)</f>
      </c>
      <c r="AI61" s="28" t="s">
        <v>45</v>
      </c>
      <c r="AJ61" s="45">
        <f>IF(AN61=0,J61,0)</f>
      </c>
      <c r="AK61" s="45">
        <f>IF(AN61=12,J61,0)</f>
      </c>
      <c r="AL61" s="45">
        <f>IF(AN61=21,J61,0)</f>
      </c>
      <c r="AN61" s="45" t="n">
        <v>12</v>
      </c>
      <c r="AO61" s="45">
        <f>G61*0.440383422</f>
      </c>
      <c r="AP61" s="45">
        <f>G61*(1-0.440383422)</f>
      </c>
      <c r="AQ61" s="47" t="s">
        <v>53</v>
      </c>
      <c r="AV61" s="45">
        <f>AW61+AX61</f>
      </c>
      <c r="AW61" s="45">
        <f>F61*AO61</f>
      </c>
      <c r="AX61" s="45">
        <f>F61*AP61</f>
      </c>
      <c r="AY61" s="47" t="s">
        <v>173</v>
      </c>
      <c r="AZ61" s="47" t="s">
        <v>55</v>
      </c>
      <c r="BA61" s="28" t="s">
        <v>56</v>
      </c>
      <c r="BC61" s="45">
        <f>AW61+AX61</f>
      </c>
      <c r="BD61" s="45">
        <f>G61/(100-BE61)*100</f>
      </c>
      <c r="BE61" s="45" t="n">
        <v>0</v>
      </c>
      <c r="BF61" s="45">
        <f>61</f>
      </c>
      <c r="BH61" s="45">
        <f>F61*AO61</f>
      </c>
      <c r="BI61" s="45">
        <f>F61*AP61</f>
      </c>
      <c r="BJ61" s="45">
        <f>F61*G61</f>
      </c>
      <c r="BK61" s="45"/>
      <c r="BL61" s="45" t="n">
        <v>722</v>
      </c>
      <c r="BW61" s="45" t="n">
        <v>12</v>
      </c>
      <c r="BX61" s="14" t="s">
        <v>197</v>
      </c>
    </row>
    <row r="62">
      <c r="A62" s="9" t="s">
        <v>198</v>
      </c>
      <c r="B62" s="10" t="s">
        <v>199</v>
      </c>
      <c r="C62" s="14" t="s">
        <v>200</v>
      </c>
      <c r="D62" s="10"/>
      <c r="E62" s="10" t="s">
        <v>51</v>
      </c>
      <c r="F62" s="45" t="n">
        <v>16</v>
      </c>
      <c r="G62" s="45" t="n">
        <v>0</v>
      </c>
      <c r="H62" s="45">
        <f>F62*AO62</f>
      </c>
      <c r="I62" s="45">
        <f>F62*AP62</f>
      </c>
      <c r="J62" s="45">
        <f>F62*G62</f>
      </c>
      <c r="K62" s="46" t="s">
        <v>52</v>
      </c>
      <c r="Z62" s="45">
        <f>IF(AQ62="5",BJ62,0)</f>
      </c>
      <c r="AB62" s="45">
        <f>IF(AQ62="1",BH62,0)</f>
      </c>
      <c r="AC62" s="45">
        <f>IF(AQ62="1",BI62,0)</f>
      </c>
      <c r="AD62" s="45">
        <f>IF(AQ62="7",BH62,0)</f>
      </c>
      <c r="AE62" s="45">
        <f>IF(AQ62="7",BI62,0)</f>
      </c>
      <c r="AF62" s="45">
        <f>IF(AQ62="2",BH62,0)</f>
      </c>
      <c r="AG62" s="45">
        <f>IF(AQ62="2",BI62,0)</f>
      </c>
      <c r="AH62" s="45">
        <f>IF(AQ62="0",BJ62,0)</f>
      </c>
      <c r="AI62" s="28" t="s">
        <v>45</v>
      </c>
      <c r="AJ62" s="45">
        <f>IF(AN62=0,J62,0)</f>
      </c>
      <c r="AK62" s="45">
        <f>IF(AN62=12,J62,0)</f>
      </c>
      <c r="AL62" s="45">
        <f>IF(AN62=21,J62,0)</f>
      </c>
      <c r="AN62" s="45" t="n">
        <v>12</v>
      </c>
      <c r="AO62" s="45">
        <f>G62*0.455975232</f>
      </c>
      <c r="AP62" s="45">
        <f>G62*(1-0.455975232)</f>
      </c>
      <c r="AQ62" s="47" t="s">
        <v>53</v>
      </c>
      <c r="AV62" s="45">
        <f>AW62+AX62</f>
      </c>
      <c r="AW62" s="45">
        <f>F62*AO62</f>
      </c>
      <c r="AX62" s="45">
        <f>F62*AP62</f>
      </c>
      <c r="AY62" s="47" t="s">
        <v>173</v>
      </c>
      <c r="AZ62" s="47" t="s">
        <v>55</v>
      </c>
      <c r="BA62" s="28" t="s">
        <v>56</v>
      </c>
      <c r="BC62" s="45">
        <f>AW62+AX62</f>
      </c>
      <c r="BD62" s="45">
        <f>G62/(100-BE62)*100</f>
      </c>
      <c r="BE62" s="45" t="n">
        <v>0</v>
      </c>
      <c r="BF62" s="45">
        <f>62</f>
      </c>
      <c r="BH62" s="45">
        <f>F62*AO62</f>
      </c>
      <c r="BI62" s="45">
        <f>F62*AP62</f>
      </c>
      <c r="BJ62" s="45">
        <f>F62*G62</f>
      </c>
      <c r="BK62" s="45"/>
      <c r="BL62" s="45" t="n">
        <v>722</v>
      </c>
      <c r="BW62" s="45" t="n">
        <v>12</v>
      </c>
      <c r="BX62" s="14" t="s">
        <v>200</v>
      </c>
    </row>
    <row r="63">
      <c r="A63" s="9" t="s">
        <v>201</v>
      </c>
      <c r="B63" s="10" t="s">
        <v>202</v>
      </c>
      <c r="C63" s="14" t="s">
        <v>203</v>
      </c>
      <c r="D63" s="10"/>
      <c r="E63" s="10" t="s">
        <v>51</v>
      </c>
      <c r="F63" s="45" t="n">
        <v>48</v>
      </c>
      <c r="G63" s="45" t="n">
        <v>0</v>
      </c>
      <c r="H63" s="45">
        <f>F63*AO63</f>
      </c>
      <c r="I63" s="45">
        <f>F63*AP63</f>
      </c>
      <c r="J63" s="45">
        <f>F63*G63</f>
      </c>
      <c r="K63" s="46" t="s">
        <v>45</v>
      </c>
      <c r="Z63" s="45">
        <f>IF(AQ63="5",BJ63,0)</f>
      </c>
      <c r="AB63" s="45">
        <f>IF(AQ63="1",BH63,0)</f>
      </c>
      <c r="AC63" s="45">
        <f>IF(AQ63="1",BI63,0)</f>
      </c>
      <c r="AD63" s="45">
        <f>IF(AQ63="7",BH63,0)</f>
      </c>
      <c r="AE63" s="45">
        <f>IF(AQ63="7",BI63,0)</f>
      </c>
      <c r="AF63" s="45">
        <f>IF(AQ63="2",BH63,0)</f>
      </c>
      <c r="AG63" s="45">
        <f>IF(AQ63="2",BI63,0)</f>
      </c>
      <c r="AH63" s="45">
        <f>IF(AQ63="0",BJ63,0)</f>
      </c>
      <c r="AI63" s="28" t="s">
        <v>45</v>
      </c>
      <c r="AJ63" s="45">
        <f>IF(AN63=0,J63,0)</f>
      </c>
      <c r="AK63" s="45">
        <f>IF(AN63=12,J63,0)</f>
      </c>
      <c r="AL63" s="45">
        <f>IF(AN63=21,J63,0)</f>
      </c>
      <c r="AN63" s="45" t="n">
        <v>12</v>
      </c>
      <c r="AO63" s="45">
        <f>G63*0.7</f>
      </c>
      <c r="AP63" s="45">
        <f>G63*(1-0.7)</f>
      </c>
      <c r="AQ63" s="47" t="s">
        <v>53</v>
      </c>
      <c r="AV63" s="45">
        <f>AW63+AX63</f>
      </c>
      <c r="AW63" s="45">
        <f>F63*AO63</f>
      </c>
      <c r="AX63" s="45">
        <f>F63*AP63</f>
      </c>
      <c r="AY63" s="47" t="s">
        <v>173</v>
      </c>
      <c r="AZ63" s="47" t="s">
        <v>55</v>
      </c>
      <c r="BA63" s="28" t="s">
        <v>56</v>
      </c>
      <c r="BC63" s="45">
        <f>AW63+AX63</f>
      </c>
      <c r="BD63" s="45">
        <f>G63/(100-BE63)*100</f>
      </c>
      <c r="BE63" s="45" t="n">
        <v>0</v>
      </c>
      <c r="BF63" s="45">
        <f>63</f>
      </c>
      <c r="BH63" s="45">
        <f>F63*AO63</f>
      </c>
      <c r="BI63" s="45">
        <f>F63*AP63</f>
      </c>
      <c r="BJ63" s="45">
        <f>F63*G63</f>
      </c>
      <c r="BK63" s="45"/>
      <c r="BL63" s="45" t="n">
        <v>722</v>
      </c>
      <c r="BW63" s="45" t="n">
        <v>12</v>
      </c>
      <c r="BX63" s="14" t="s">
        <v>203</v>
      </c>
    </row>
    <row r="64">
      <c r="A64" s="9" t="s">
        <v>204</v>
      </c>
      <c r="B64" s="10" t="s">
        <v>205</v>
      </c>
      <c r="C64" s="14" t="s">
        <v>206</v>
      </c>
      <c r="D64" s="10"/>
      <c r="E64" s="10" t="s">
        <v>51</v>
      </c>
      <c r="F64" s="45" t="n">
        <v>46</v>
      </c>
      <c r="G64" s="45" t="n">
        <v>0</v>
      </c>
      <c r="H64" s="45">
        <f>F64*AO64</f>
      </c>
      <c r="I64" s="45">
        <f>F64*AP64</f>
      </c>
      <c r="J64" s="45">
        <f>F64*G64</f>
      </c>
      <c r="K64" s="46" t="s">
        <v>45</v>
      </c>
      <c r="Z64" s="45">
        <f>IF(AQ64="5",BJ64,0)</f>
      </c>
      <c r="AB64" s="45">
        <f>IF(AQ64="1",BH64,0)</f>
      </c>
      <c r="AC64" s="45">
        <f>IF(AQ64="1",BI64,0)</f>
      </c>
      <c r="AD64" s="45">
        <f>IF(AQ64="7",BH64,0)</f>
      </c>
      <c r="AE64" s="45">
        <f>IF(AQ64="7",BI64,0)</f>
      </c>
      <c r="AF64" s="45">
        <f>IF(AQ64="2",BH64,0)</f>
      </c>
      <c r="AG64" s="45">
        <f>IF(AQ64="2",BI64,0)</f>
      </c>
      <c r="AH64" s="45">
        <f>IF(AQ64="0",BJ64,0)</f>
      </c>
      <c r="AI64" s="28" t="s">
        <v>45</v>
      </c>
      <c r="AJ64" s="45">
        <f>IF(AN64=0,J64,0)</f>
      </c>
      <c r="AK64" s="45">
        <f>IF(AN64=12,J64,0)</f>
      </c>
      <c r="AL64" s="45">
        <f>IF(AN64=21,J64,0)</f>
      </c>
      <c r="AN64" s="45" t="n">
        <v>12</v>
      </c>
      <c r="AO64" s="45">
        <f>G64*0.670103093</f>
      </c>
      <c r="AP64" s="45">
        <f>G64*(1-0.670103093)</f>
      </c>
      <c r="AQ64" s="47" t="s">
        <v>53</v>
      </c>
      <c r="AV64" s="45">
        <f>AW64+AX64</f>
      </c>
      <c r="AW64" s="45">
        <f>F64*AO64</f>
      </c>
      <c r="AX64" s="45">
        <f>F64*AP64</f>
      </c>
      <c r="AY64" s="47" t="s">
        <v>173</v>
      </c>
      <c r="AZ64" s="47" t="s">
        <v>55</v>
      </c>
      <c r="BA64" s="28" t="s">
        <v>56</v>
      </c>
      <c r="BC64" s="45">
        <f>AW64+AX64</f>
      </c>
      <c r="BD64" s="45">
        <f>G64/(100-BE64)*100</f>
      </c>
      <c r="BE64" s="45" t="n">
        <v>0</v>
      </c>
      <c r="BF64" s="45">
        <f>64</f>
      </c>
      <c r="BH64" s="45">
        <f>F64*AO64</f>
      </c>
      <c r="BI64" s="45">
        <f>F64*AP64</f>
      </c>
      <c r="BJ64" s="45">
        <f>F64*G64</f>
      </c>
      <c r="BK64" s="45"/>
      <c r="BL64" s="45" t="n">
        <v>722</v>
      </c>
      <c r="BW64" s="45" t="n">
        <v>12</v>
      </c>
      <c r="BX64" s="14" t="s">
        <v>206</v>
      </c>
    </row>
    <row r="65">
      <c r="A65" s="9" t="s">
        <v>207</v>
      </c>
      <c r="B65" s="10" t="s">
        <v>208</v>
      </c>
      <c r="C65" s="14" t="s">
        <v>209</v>
      </c>
      <c r="D65" s="10"/>
      <c r="E65" s="10" t="s">
        <v>51</v>
      </c>
      <c r="F65" s="45" t="n">
        <v>12</v>
      </c>
      <c r="G65" s="45" t="n">
        <v>0</v>
      </c>
      <c r="H65" s="45">
        <f>F65*AO65</f>
      </c>
      <c r="I65" s="45">
        <f>F65*AP65</f>
      </c>
      <c r="J65" s="45">
        <f>F65*G65</f>
      </c>
      <c r="K65" s="46" t="s">
        <v>45</v>
      </c>
      <c r="Z65" s="45">
        <f>IF(AQ65="5",BJ65,0)</f>
      </c>
      <c r="AB65" s="45">
        <f>IF(AQ65="1",BH65,0)</f>
      </c>
      <c r="AC65" s="45">
        <f>IF(AQ65="1",BI65,0)</f>
      </c>
      <c r="AD65" s="45">
        <f>IF(AQ65="7",BH65,0)</f>
      </c>
      <c r="AE65" s="45">
        <f>IF(AQ65="7",BI65,0)</f>
      </c>
      <c r="AF65" s="45">
        <f>IF(AQ65="2",BH65,0)</f>
      </c>
      <c r="AG65" s="45">
        <f>IF(AQ65="2",BI65,0)</f>
      </c>
      <c r="AH65" s="45">
        <f>IF(AQ65="0",BJ65,0)</f>
      </c>
      <c r="AI65" s="28" t="s">
        <v>45</v>
      </c>
      <c r="AJ65" s="45">
        <f>IF(AN65=0,J65,0)</f>
      </c>
      <c r="AK65" s="45">
        <f>IF(AN65=12,J65,0)</f>
      </c>
      <c r="AL65" s="45">
        <f>IF(AN65=21,J65,0)</f>
      </c>
      <c r="AN65" s="45" t="n">
        <v>12</v>
      </c>
      <c r="AO65" s="45">
        <f>G65*0.672897196</f>
      </c>
      <c r="AP65" s="45">
        <f>G65*(1-0.672897196)</f>
      </c>
      <c r="AQ65" s="47" t="s">
        <v>53</v>
      </c>
      <c r="AV65" s="45">
        <f>AW65+AX65</f>
      </c>
      <c r="AW65" s="45">
        <f>F65*AO65</f>
      </c>
      <c r="AX65" s="45">
        <f>F65*AP65</f>
      </c>
      <c r="AY65" s="47" t="s">
        <v>173</v>
      </c>
      <c r="AZ65" s="47" t="s">
        <v>55</v>
      </c>
      <c r="BA65" s="28" t="s">
        <v>56</v>
      </c>
      <c r="BC65" s="45">
        <f>AW65+AX65</f>
      </c>
      <c r="BD65" s="45">
        <f>G65/(100-BE65)*100</f>
      </c>
      <c r="BE65" s="45" t="n">
        <v>0</v>
      </c>
      <c r="BF65" s="45">
        <f>65</f>
      </c>
      <c r="BH65" s="45">
        <f>F65*AO65</f>
      </c>
      <c r="BI65" s="45">
        <f>F65*AP65</f>
      </c>
      <c r="BJ65" s="45">
        <f>F65*G65</f>
      </c>
      <c r="BK65" s="45"/>
      <c r="BL65" s="45" t="n">
        <v>722</v>
      </c>
      <c r="BW65" s="45" t="n">
        <v>12</v>
      </c>
      <c r="BX65" s="14" t="s">
        <v>209</v>
      </c>
    </row>
    <row r="66">
      <c r="A66" s="9" t="s">
        <v>210</v>
      </c>
      <c r="B66" s="10" t="s">
        <v>211</v>
      </c>
      <c r="C66" s="14" t="s">
        <v>212</v>
      </c>
      <c r="D66" s="10"/>
      <c r="E66" s="10" t="s">
        <v>51</v>
      </c>
      <c r="F66" s="45" t="n">
        <v>6</v>
      </c>
      <c r="G66" s="45" t="n">
        <v>0</v>
      </c>
      <c r="H66" s="45">
        <f>F66*AO66</f>
      </c>
      <c r="I66" s="45">
        <f>F66*AP66</f>
      </c>
      <c r="J66" s="45">
        <f>F66*G66</f>
      </c>
      <c r="K66" s="46" t="s">
        <v>45</v>
      </c>
      <c r="Z66" s="45">
        <f>IF(AQ66="5",BJ66,0)</f>
      </c>
      <c r="AB66" s="45">
        <f>IF(AQ66="1",BH66,0)</f>
      </c>
      <c r="AC66" s="45">
        <f>IF(AQ66="1",BI66,0)</f>
      </c>
      <c r="AD66" s="45">
        <f>IF(AQ66="7",BH66,0)</f>
      </c>
      <c r="AE66" s="45">
        <f>IF(AQ66="7",BI66,0)</f>
      </c>
      <c r="AF66" s="45">
        <f>IF(AQ66="2",BH66,0)</f>
      </c>
      <c r="AG66" s="45">
        <f>IF(AQ66="2",BI66,0)</f>
      </c>
      <c r="AH66" s="45">
        <f>IF(AQ66="0",BJ66,0)</f>
      </c>
      <c r="AI66" s="28" t="s">
        <v>45</v>
      </c>
      <c r="AJ66" s="45">
        <f>IF(AN66=0,J66,0)</f>
      </c>
      <c r="AK66" s="45">
        <f>IF(AN66=12,J66,0)</f>
      </c>
      <c r="AL66" s="45">
        <f>IF(AN66=21,J66,0)</f>
      </c>
      <c r="AN66" s="45" t="n">
        <v>12</v>
      </c>
      <c r="AO66" s="45">
        <f>G66*0.636363636</f>
      </c>
      <c r="AP66" s="45">
        <f>G66*(1-0.636363636)</f>
      </c>
      <c r="AQ66" s="47" t="s">
        <v>53</v>
      </c>
      <c r="AV66" s="45">
        <f>AW66+AX66</f>
      </c>
      <c r="AW66" s="45">
        <f>F66*AO66</f>
      </c>
      <c r="AX66" s="45">
        <f>F66*AP66</f>
      </c>
      <c r="AY66" s="47" t="s">
        <v>173</v>
      </c>
      <c r="AZ66" s="47" t="s">
        <v>55</v>
      </c>
      <c r="BA66" s="28" t="s">
        <v>56</v>
      </c>
      <c r="BC66" s="45">
        <f>AW66+AX66</f>
      </c>
      <c r="BD66" s="45">
        <f>G66/(100-BE66)*100</f>
      </c>
      <c r="BE66" s="45" t="n">
        <v>0</v>
      </c>
      <c r="BF66" s="45">
        <f>66</f>
      </c>
      <c r="BH66" s="45">
        <f>F66*AO66</f>
      </c>
      <c r="BI66" s="45">
        <f>F66*AP66</f>
      </c>
      <c r="BJ66" s="45">
        <f>F66*G66</f>
      </c>
      <c r="BK66" s="45"/>
      <c r="BL66" s="45" t="n">
        <v>722</v>
      </c>
      <c r="BW66" s="45" t="n">
        <v>12</v>
      </c>
      <c r="BX66" s="14" t="s">
        <v>212</v>
      </c>
    </row>
    <row r="67">
      <c r="A67" s="9" t="s">
        <v>213</v>
      </c>
      <c r="B67" s="10" t="s">
        <v>214</v>
      </c>
      <c r="C67" s="14" t="s">
        <v>215</v>
      </c>
      <c r="D67" s="10"/>
      <c r="E67" s="10" t="s">
        <v>111</v>
      </c>
      <c r="F67" s="45" t="n">
        <v>110</v>
      </c>
      <c r="G67" s="45" t="n">
        <v>0</v>
      </c>
      <c r="H67" s="45">
        <f>F67*AO67</f>
      </c>
      <c r="I67" s="45">
        <f>F67*AP67</f>
      </c>
      <c r="J67" s="45">
        <f>F67*G67</f>
      </c>
      <c r="K67" s="46" t="s">
        <v>115</v>
      </c>
      <c r="Z67" s="45">
        <f>IF(AQ67="5",BJ67,0)</f>
      </c>
      <c r="AB67" s="45">
        <f>IF(AQ67="1",BH67,0)</f>
      </c>
      <c r="AC67" s="45">
        <f>IF(AQ67="1",BI67,0)</f>
      </c>
      <c r="AD67" s="45">
        <f>IF(AQ67="7",BH67,0)</f>
      </c>
      <c r="AE67" s="45">
        <f>IF(AQ67="7",BI67,0)</f>
      </c>
      <c r="AF67" s="45">
        <f>IF(AQ67="2",BH67,0)</f>
      </c>
      <c r="AG67" s="45">
        <f>IF(AQ67="2",BI67,0)</f>
      </c>
      <c r="AH67" s="45">
        <f>IF(AQ67="0",BJ67,0)</f>
      </c>
      <c r="AI67" s="28" t="s">
        <v>45</v>
      </c>
      <c r="AJ67" s="45">
        <f>IF(AN67=0,J67,0)</f>
      </c>
      <c r="AK67" s="45">
        <f>IF(AN67=12,J67,0)</f>
      </c>
      <c r="AL67" s="45">
        <f>IF(AN67=21,J67,0)</f>
      </c>
      <c r="AN67" s="45" t="n">
        <v>12</v>
      </c>
      <c r="AO67" s="45">
        <f>G67*0</f>
      </c>
      <c r="AP67" s="45">
        <f>G67*(1-0)</f>
      </c>
      <c r="AQ67" s="47" t="s">
        <v>53</v>
      </c>
      <c r="AV67" s="45">
        <f>AW67+AX67</f>
      </c>
      <c r="AW67" s="45">
        <f>F67*AO67</f>
      </c>
      <c r="AX67" s="45">
        <f>F67*AP67</f>
      </c>
      <c r="AY67" s="47" t="s">
        <v>173</v>
      </c>
      <c r="AZ67" s="47" t="s">
        <v>55</v>
      </c>
      <c r="BA67" s="28" t="s">
        <v>56</v>
      </c>
      <c r="BC67" s="45">
        <f>AW67+AX67</f>
      </c>
      <c r="BD67" s="45">
        <f>G67/(100-BE67)*100</f>
      </c>
      <c r="BE67" s="45" t="n">
        <v>0</v>
      </c>
      <c r="BF67" s="45">
        <f>67</f>
      </c>
      <c r="BH67" s="45">
        <f>F67*AO67</f>
      </c>
      <c r="BI67" s="45">
        <f>F67*AP67</f>
      </c>
      <c r="BJ67" s="45">
        <f>F67*G67</f>
      </c>
      <c r="BK67" s="45"/>
      <c r="BL67" s="45" t="n">
        <v>722</v>
      </c>
      <c r="BW67" s="45" t="n">
        <v>12</v>
      </c>
      <c r="BX67" s="14" t="s">
        <v>215</v>
      </c>
    </row>
    <row r="68">
      <c r="A68" s="9" t="s">
        <v>216</v>
      </c>
      <c r="B68" s="10" t="s">
        <v>217</v>
      </c>
      <c r="C68" s="14" t="s">
        <v>218</v>
      </c>
      <c r="D68" s="10"/>
      <c r="E68" s="10" t="s">
        <v>111</v>
      </c>
      <c r="F68" s="45" t="n">
        <v>5</v>
      </c>
      <c r="G68" s="45" t="n">
        <v>0</v>
      </c>
      <c r="H68" s="45">
        <f>F68*AO68</f>
      </c>
      <c r="I68" s="45">
        <f>F68*AP68</f>
      </c>
      <c r="J68" s="45">
        <f>F68*G68</f>
      </c>
      <c r="K68" s="46" t="s">
        <v>52</v>
      </c>
      <c r="Z68" s="45">
        <f>IF(AQ68="5",BJ68,0)</f>
      </c>
      <c r="AB68" s="45">
        <f>IF(AQ68="1",BH68,0)</f>
      </c>
      <c r="AC68" s="45">
        <f>IF(AQ68="1",BI68,0)</f>
      </c>
      <c r="AD68" s="45">
        <f>IF(AQ68="7",BH68,0)</f>
      </c>
      <c r="AE68" s="45">
        <f>IF(AQ68="7",BI68,0)</f>
      </c>
      <c r="AF68" s="45">
        <f>IF(AQ68="2",BH68,0)</f>
      </c>
      <c r="AG68" s="45">
        <f>IF(AQ68="2",BI68,0)</f>
      </c>
      <c r="AH68" s="45">
        <f>IF(AQ68="0",BJ68,0)</f>
      </c>
      <c r="AI68" s="28" t="s">
        <v>45</v>
      </c>
      <c r="AJ68" s="45">
        <f>IF(AN68=0,J68,0)</f>
      </c>
      <c r="AK68" s="45">
        <f>IF(AN68=12,J68,0)</f>
      </c>
      <c r="AL68" s="45">
        <f>IF(AN68=21,J68,0)</f>
      </c>
      <c r="AN68" s="45" t="n">
        <v>12</v>
      </c>
      <c r="AO68" s="45">
        <f>G68*0.735909091</f>
      </c>
      <c r="AP68" s="45">
        <f>G68*(1-0.735909091)</f>
      </c>
      <c r="AQ68" s="47" t="s">
        <v>53</v>
      </c>
      <c r="AV68" s="45">
        <f>AW68+AX68</f>
      </c>
      <c r="AW68" s="45">
        <f>F68*AO68</f>
      </c>
      <c r="AX68" s="45">
        <f>F68*AP68</f>
      </c>
      <c r="AY68" s="47" t="s">
        <v>173</v>
      </c>
      <c r="AZ68" s="47" t="s">
        <v>55</v>
      </c>
      <c r="BA68" s="28" t="s">
        <v>56</v>
      </c>
      <c r="BC68" s="45">
        <f>AW68+AX68</f>
      </c>
      <c r="BD68" s="45">
        <f>G68/(100-BE68)*100</f>
      </c>
      <c r="BE68" s="45" t="n">
        <v>0</v>
      </c>
      <c r="BF68" s="45">
        <f>68</f>
      </c>
      <c r="BH68" s="45">
        <f>F68*AO68</f>
      </c>
      <c r="BI68" s="45">
        <f>F68*AP68</f>
      </c>
      <c r="BJ68" s="45">
        <f>F68*G68</f>
      </c>
      <c r="BK68" s="45"/>
      <c r="BL68" s="45" t="n">
        <v>722</v>
      </c>
      <c r="BW68" s="45" t="n">
        <v>12</v>
      </c>
      <c r="BX68" s="14" t="s">
        <v>218</v>
      </c>
    </row>
    <row r="69">
      <c r="A69" s="9" t="s">
        <v>219</v>
      </c>
      <c r="B69" s="10" t="s">
        <v>220</v>
      </c>
      <c r="C69" s="14" t="s">
        <v>221</v>
      </c>
      <c r="D69" s="10"/>
      <c r="E69" s="10" t="s">
        <v>111</v>
      </c>
      <c r="F69" s="45" t="n">
        <v>14</v>
      </c>
      <c r="G69" s="45" t="n">
        <v>0</v>
      </c>
      <c r="H69" s="45">
        <f>F69*AO69</f>
      </c>
      <c r="I69" s="45">
        <f>F69*AP69</f>
      </c>
      <c r="J69" s="45">
        <f>F69*G69</f>
      </c>
      <c r="K69" s="46" t="s">
        <v>52</v>
      </c>
      <c r="Z69" s="45">
        <f>IF(AQ69="5",BJ69,0)</f>
      </c>
      <c r="AB69" s="45">
        <f>IF(AQ69="1",BH69,0)</f>
      </c>
      <c r="AC69" s="45">
        <f>IF(AQ69="1",BI69,0)</f>
      </c>
      <c r="AD69" s="45">
        <f>IF(AQ69="7",BH69,0)</f>
      </c>
      <c r="AE69" s="45">
        <f>IF(AQ69="7",BI69,0)</f>
      </c>
      <c r="AF69" s="45">
        <f>IF(AQ69="2",BH69,0)</f>
      </c>
      <c r="AG69" s="45">
        <f>IF(AQ69="2",BI69,0)</f>
      </c>
      <c r="AH69" s="45">
        <f>IF(AQ69="0",BJ69,0)</f>
      </c>
      <c r="AI69" s="28" t="s">
        <v>45</v>
      </c>
      <c r="AJ69" s="45">
        <f>IF(AN69=0,J69,0)</f>
      </c>
      <c r="AK69" s="45">
        <f>IF(AN69=12,J69,0)</f>
      </c>
      <c r="AL69" s="45">
        <f>IF(AN69=21,J69,0)</f>
      </c>
      <c r="AN69" s="45" t="n">
        <v>12</v>
      </c>
      <c r="AO69" s="45">
        <f>G69*0.745092896</f>
      </c>
      <c r="AP69" s="45">
        <f>G69*(1-0.745092896)</f>
      </c>
      <c r="AQ69" s="47" t="s">
        <v>53</v>
      </c>
      <c r="AV69" s="45">
        <f>AW69+AX69</f>
      </c>
      <c r="AW69" s="45">
        <f>F69*AO69</f>
      </c>
      <c r="AX69" s="45">
        <f>F69*AP69</f>
      </c>
      <c r="AY69" s="47" t="s">
        <v>173</v>
      </c>
      <c r="AZ69" s="47" t="s">
        <v>55</v>
      </c>
      <c r="BA69" s="28" t="s">
        <v>56</v>
      </c>
      <c r="BC69" s="45">
        <f>AW69+AX69</f>
      </c>
      <c r="BD69" s="45">
        <f>G69/(100-BE69)*100</f>
      </c>
      <c r="BE69" s="45" t="n">
        <v>0</v>
      </c>
      <c r="BF69" s="45">
        <f>69</f>
      </c>
      <c r="BH69" s="45">
        <f>F69*AO69</f>
      </c>
      <c r="BI69" s="45">
        <f>F69*AP69</f>
      </c>
      <c r="BJ69" s="45">
        <f>F69*G69</f>
      </c>
      <c r="BK69" s="45"/>
      <c r="BL69" s="45" t="n">
        <v>722</v>
      </c>
      <c r="BW69" s="45" t="n">
        <v>12</v>
      </c>
      <c r="BX69" s="14" t="s">
        <v>221</v>
      </c>
    </row>
    <row r="70">
      <c r="A70" s="9" t="s">
        <v>222</v>
      </c>
      <c r="B70" s="10" t="s">
        <v>223</v>
      </c>
      <c r="C70" s="14" t="s">
        <v>224</v>
      </c>
      <c r="D70" s="10"/>
      <c r="E70" s="10" t="s">
        <v>111</v>
      </c>
      <c r="F70" s="45" t="n">
        <v>13</v>
      </c>
      <c r="G70" s="45" t="n">
        <v>0</v>
      </c>
      <c r="H70" s="45">
        <f>F70*AO70</f>
      </c>
      <c r="I70" s="45">
        <f>F70*AP70</f>
      </c>
      <c r="J70" s="45">
        <f>F70*G70</f>
      </c>
      <c r="K70" s="46" t="s">
        <v>52</v>
      </c>
      <c r="Z70" s="45">
        <f>IF(AQ70="5",BJ70,0)</f>
      </c>
      <c r="AB70" s="45">
        <f>IF(AQ70="1",BH70,0)</f>
      </c>
      <c r="AC70" s="45">
        <f>IF(AQ70="1",BI70,0)</f>
      </c>
      <c r="AD70" s="45">
        <f>IF(AQ70="7",BH70,0)</f>
      </c>
      <c r="AE70" s="45">
        <f>IF(AQ70="7",BI70,0)</f>
      </c>
      <c r="AF70" s="45">
        <f>IF(AQ70="2",BH70,0)</f>
      </c>
      <c r="AG70" s="45">
        <f>IF(AQ70="2",BI70,0)</f>
      </c>
      <c r="AH70" s="45">
        <f>IF(AQ70="0",BJ70,0)</f>
      </c>
      <c r="AI70" s="28" t="s">
        <v>45</v>
      </c>
      <c r="AJ70" s="45">
        <f>IF(AN70=0,J70,0)</f>
      </c>
      <c r="AK70" s="45">
        <f>IF(AN70=12,J70,0)</f>
      </c>
      <c r="AL70" s="45">
        <f>IF(AN70=21,J70,0)</f>
      </c>
      <c r="AN70" s="45" t="n">
        <v>12</v>
      </c>
      <c r="AO70" s="45">
        <f>G70*0.828104839</f>
      </c>
      <c r="AP70" s="45">
        <f>G70*(1-0.828104839)</f>
      </c>
      <c r="AQ70" s="47" t="s">
        <v>53</v>
      </c>
      <c r="AV70" s="45">
        <f>AW70+AX70</f>
      </c>
      <c r="AW70" s="45">
        <f>F70*AO70</f>
      </c>
      <c r="AX70" s="45">
        <f>F70*AP70</f>
      </c>
      <c r="AY70" s="47" t="s">
        <v>173</v>
      </c>
      <c r="AZ70" s="47" t="s">
        <v>55</v>
      </c>
      <c r="BA70" s="28" t="s">
        <v>56</v>
      </c>
      <c r="BC70" s="45">
        <f>AW70+AX70</f>
      </c>
      <c r="BD70" s="45">
        <f>G70/(100-BE70)*100</f>
      </c>
      <c r="BE70" s="45" t="n">
        <v>0</v>
      </c>
      <c r="BF70" s="45">
        <f>70</f>
      </c>
      <c r="BH70" s="45">
        <f>F70*AO70</f>
      </c>
      <c r="BI70" s="45">
        <f>F70*AP70</f>
      </c>
      <c r="BJ70" s="45">
        <f>F70*G70</f>
      </c>
      <c r="BK70" s="45"/>
      <c r="BL70" s="45" t="n">
        <v>722</v>
      </c>
      <c r="BW70" s="45" t="n">
        <v>12</v>
      </c>
      <c r="BX70" s="14" t="s">
        <v>224</v>
      </c>
    </row>
    <row r="71">
      <c r="A71" s="9" t="s">
        <v>225</v>
      </c>
      <c r="B71" s="10" t="s">
        <v>226</v>
      </c>
      <c r="C71" s="14" t="s">
        <v>227</v>
      </c>
      <c r="D71" s="10"/>
      <c r="E71" s="10" t="s">
        <v>111</v>
      </c>
      <c r="F71" s="45" t="n">
        <v>1</v>
      </c>
      <c r="G71" s="45" t="n">
        <v>0</v>
      </c>
      <c r="H71" s="45">
        <f>F71*AO71</f>
      </c>
      <c r="I71" s="45">
        <f>F71*AP71</f>
      </c>
      <c r="J71" s="45">
        <f>F71*G71</f>
      </c>
      <c r="K71" s="46" t="s">
        <v>52</v>
      </c>
      <c r="Z71" s="45">
        <f>IF(AQ71="5",BJ71,0)</f>
      </c>
      <c r="AB71" s="45">
        <f>IF(AQ71="1",BH71,0)</f>
      </c>
      <c r="AC71" s="45">
        <f>IF(AQ71="1",BI71,0)</f>
      </c>
      <c r="AD71" s="45">
        <f>IF(AQ71="7",BH71,0)</f>
      </c>
      <c r="AE71" s="45">
        <f>IF(AQ71="7",BI71,0)</f>
      </c>
      <c r="AF71" s="45">
        <f>IF(AQ71="2",BH71,0)</f>
      </c>
      <c r="AG71" s="45">
        <f>IF(AQ71="2",BI71,0)</f>
      </c>
      <c r="AH71" s="45">
        <f>IF(AQ71="0",BJ71,0)</f>
      </c>
      <c r="AI71" s="28" t="s">
        <v>45</v>
      </c>
      <c r="AJ71" s="45">
        <f>IF(AN71=0,J71,0)</f>
      </c>
      <c r="AK71" s="45">
        <f>IF(AN71=12,J71,0)</f>
      </c>
      <c r="AL71" s="45">
        <f>IF(AN71=21,J71,0)</f>
      </c>
      <c r="AN71" s="45" t="n">
        <v>12</v>
      </c>
      <c r="AO71" s="45">
        <f>G71*0.872817538</f>
      </c>
      <c r="AP71" s="45">
        <f>G71*(1-0.872817538)</f>
      </c>
      <c r="AQ71" s="47" t="s">
        <v>53</v>
      </c>
      <c r="AV71" s="45">
        <f>AW71+AX71</f>
      </c>
      <c r="AW71" s="45">
        <f>F71*AO71</f>
      </c>
      <c r="AX71" s="45">
        <f>F71*AP71</f>
      </c>
      <c r="AY71" s="47" t="s">
        <v>173</v>
      </c>
      <c r="AZ71" s="47" t="s">
        <v>55</v>
      </c>
      <c r="BA71" s="28" t="s">
        <v>56</v>
      </c>
      <c r="BC71" s="45">
        <f>AW71+AX71</f>
      </c>
      <c r="BD71" s="45">
        <f>G71/(100-BE71)*100</f>
      </c>
      <c r="BE71" s="45" t="n">
        <v>0</v>
      </c>
      <c r="BF71" s="45">
        <f>71</f>
      </c>
      <c r="BH71" s="45">
        <f>F71*AO71</f>
      </c>
      <c r="BI71" s="45">
        <f>F71*AP71</f>
      </c>
      <c r="BJ71" s="45">
        <f>F71*G71</f>
      </c>
      <c r="BK71" s="45"/>
      <c r="BL71" s="45" t="n">
        <v>722</v>
      </c>
      <c r="BW71" s="45" t="n">
        <v>12</v>
      </c>
      <c r="BX71" s="14" t="s">
        <v>227</v>
      </c>
    </row>
    <row r="72">
      <c r="A72" s="9" t="s">
        <v>228</v>
      </c>
      <c r="B72" s="10" t="s">
        <v>229</v>
      </c>
      <c r="C72" s="14" t="s">
        <v>230</v>
      </c>
      <c r="D72" s="10"/>
      <c r="E72" s="10" t="s">
        <v>124</v>
      </c>
      <c r="F72" s="45" t="n">
        <v>2</v>
      </c>
      <c r="G72" s="45" t="n">
        <v>0</v>
      </c>
      <c r="H72" s="45">
        <f>F72*AO72</f>
      </c>
      <c r="I72" s="45">
        <f>F72*AP72</f>
      </c>
      <c r="J72" s="45">
        <f>F72*G72</f>
      </c>
      <c r="K72" s="46" t="s">
        <v>45</v>
      </c>
      <c r="Z72" s="45">
        <f>IF(AQ72="5",BJ72,0)</f>
      </c>
      <c r="AB72" s="45">
        <f>IF(AQ72="1",BH72,0)</f>
      </c>
      <c r="AC72" s="45">
        <f>IF(AQ72="1",BI72,0)</f>
      </c>
      <c r="AD72" s="45">
        <f>IF(AQ72="7",BH72,0)</f>
      </c>
      <c r="AE72" s="45">
        <f>IF(AQ72="7",BI72,0)</f>
      </c>
      <c r="AF72" s="45">
        <f>IF(AQ72="2",BH72,0)</f>
      </c>
      <c r="AG72" s="45">
        <f>IF(AQ72="2",BI72,0)</f>
      </c>
      <c r="AH72" s="45">
        <f>IF(AQ72="0",BJ72,0)</f>
      </c>
      <c r="AI72" s="28" t="s">
        <v>45</v>
      </c>
      <c r="AJ72" s="45">
        <f>IF(AN72=0,J72,0)</f>
      </c>
      <c r="AK72" s="45">
        <f>IF(AN72=12,J72,0)</f>
      </c>
      <c r="AL72" s="45">
        <f>IF(AN72=21,J72,0)</f>
      </c>
      <c r="AN72" s="45" t="n">
        <v>12</v>
      </c>
      <c r="AO72" s="45">
        <f>G72*0.741769858</f>
      </c>
      <c r="AP72" s="45">
        <f>G72*(1-0.741769858)</f>
      </c>
      <c r="AQ72" s="47" t="s">
        <v>53</v>
      </c>
      <c r="AV72" s="45">
        <f>AW72+AX72</f>
      </c>
      <c r="AW72" s="45">
        <f>F72*AO72</f>
      </c>
      <c r="AX72" s="45">
        <f>F72*AP72</f>
      </c>
      <c r="AY72" s="47" t="s">
        <v>173</v>
      </c>
      <c r="AZ72" s="47" t="s">
        <v>55</v>
      </c>
      <c r="BA72" s="28" t="s">
        <v>56</v>
      </c>
      <c r="BC72" s="45">
        <f>AW72+AX72</f>
      </c>
      <c r="BD72" s="45">
        <f>G72/(100-BE72)*100</f>
      </c>
      <c r="BE72" s="45" t="n">
        <v>0</v>
      </c>
      <c r="BF72" s="45">
        <f>72</f>
      </c>
      <c r="BH72" s="45">
        <f>F72*AO72</f>
      </c>
      <c r="BI72" s="45">
        <f>F72*AP72</f>
      </c>
      <c r="BJ72" s="45">
        <f>F72*G72</f>
      </c>
      <c r="BK72" s="45"/>
      <c r="BL72" s="45" t="n">
        <v>722</v>
      </c>
      <c r="BW72" s="45" t="n">
        <v>12</v>
      </c>
      <c r="BX72" s="14" t="s">
        <v>230</v>
      </c>
    </row>
    <row r="73" customHeight="true" ht="27">
      <c r="A73" s="48"/>
      <c r="B73" s="49" t="s">
        <v>119</v>
      </c>
      <c r="C73" s="50" t="s">
        <v>231</v>
      </c>
      <c r="D73" s="51"/>
      <c r="E73" s="51"/>
      <c r="F73" s="51"/>
      <c r="G73" s="51"/>
      <c r="H73" s="51"/>
      <c r="I73" s="51"/>
      <c r="J73" s="51"/>
      <c r="K73" s="52"/>
    </row>
    <row r="74">
      <c r="A74" s="58" t="s">
        <v>232</v>
      </c>
      <c r="B74" s="59" t="s">
        <v>233</v>
      </c>
      <c r="C74" s="60" t="s">
        <v>234</v>
      </c>
      <c r="D74" s="59"/>
      <c r="E74" s="59" t="s">
        <v>111</v>
      </c>
      <c r="F74" s="61" t="n">
        <v>26</v>
      </c>
      <c r="G74" s="61" t="n">
        <v>0</v>
      </c>
      <c r="H74" s="61">
        <f>F74*AO74</f>
      </c>
      <c r="I74" s="61">
        <f>F74*AP74</f>
      </c>
      <c r="J74" s="61">
        <f>F74*G74</f>
      </c>
      <c r="K74" s="62" t="s">
        <v>52</v>
      </c>
      <c r="Z74" s="45">
        <f>IF(AQ74="5",BJ74,0)</f>
      </c>
      <c r="AB74" s="45">
        <f>IF(AQ74="1",BH74,0)</f>
      </c>
      <c r="AC74" s="45">
        <f>IF(AQ74="1",BI74,0)</f>
      </c>
      <c r="AD74" s="45">
        <f>IF(AQ74="7",BH74,0)</f>
      </c>
      <c r="AE74" s="45">
        <f>IF(AQ74="7",BI74,0)</f>
      </c>
      <c r="AF74" s="45">
        <f>IF(AQ74="2",BH74,0)</f>
      </c>
      <c r="AG74" s="45">
        <f>IF(AQ74="2",BI74,0)</f>
      </c>
      <c r="AH74" s="45">
        <f>IF(AQ74="0",BJ74,0)</f>
      </c>
      <c r="AI74" s="28" t="s">
        <v>45</v>
      </c>
      <c r="AJ74" s="45">
        <f>IF(AN74=0,J74,0)</f>
      </c>
      <c r="AK74" s="45">
        <f>IF(AN74=12,J74,0)</f>
      </c>
      <c r="AL74" s="45">
        <f>IF(AN74=21,J74,0)</f>
      </c>
      <c r="AN74" s="45" t="n">
        <v>12</v>
      </c>
      <c r="AO74" s="45">
        <f>G74*0.692348181</f>
      </c>
      <c r="AP74" s="45">
        <f>G74*(1-0.692348181)</f>
      </c>
      <c r="AQ74" s="47" t="s">
        <v>53</v>
      </c>
      <c r="AV74" s="45">
        <f>AW74+AX74</f>
      </c>
      <c r="AW74" s="45">
        <f>F74*AO74</f>
      </c>
      <c r="AX74" s="45">
        <f>F74*AP74</f>
      </c>
      <c r="AY74" s="47" t="s">
        <v>173</v>
      </c>
      <c r="AZ74" s="47" t="s">
        <v>55</v>
      </c>
      <c r="BA74" s="28" t="s">
        <v>56</v>
      </c>
      <c r="BC74" s="45">
        <f>AW74+AX74</f>
      </c>
      <c r="BD74" s="45">
        <f>G74/(100-BE74)*100</f>
      </c>
      <c r="BE74" s="45" t="n">
        <v>0</v>
      </c>
      <c r="BF74" s="45">
        <f>74</f>
      </c>
      <c r="BH74" s="45">
        <f>F74*AO74</f>
      </c>
      <c r="BI74" s="45">
        <f>F74*AP74</f>
      </c>
      <c r="BJ74" s="45">
        <f>F74*G74</f>
      </c>
      <c r="BK74" s="45"/>
      <c r="BL74" s="45" t="n">
        <v>722</v>
      </c>
      <c r="BW74" s="45" t="n">
        <v>12</v>
      </c>
      <c r="BX74" s="14" t="s">
        <v>234</v>
      </c>
    </row>
    <row r="75">
      <c r="A75" s="63" t="s">
        <v>235</v>
      </c>
      <c r="B75" s="64" t="s">
        <v>236</v>
      </c>
      <c r="C75" s="65" t="s">
        <v>237</v>
      </c>
      <c r="D75" s="64"/>
      <c r="E75" s="64" t="s">
        <v>101</v>
      </c>
      <c r="F75" s="66" t="n">
        <v>2</v>
      </c>
      <c r="G75" s="66" t="n">
        <v>0</v>
      </c>
      <c r="H75" s="66">
        <f>F75*AO75</f>
      </c>
      <c r="I75" s="66">
        <f>F75*AP75</f>
      </c>
      <c r="J75" s="66">
        <f>F75*G75</f>
      </c>
      <c r="K75" s="67" t="s">
        <v>45</v>
      </c>
      <c r="Z75" s="45">
        <f>IF(AQ75="5",BJ75,0)</f>
      </c>
      <c r="AB75" s="45">
        <f>IF(AQ75="1",BH75,0)</f>
      </c>
      <c r="AC75" s="45">
        <f>IF(AQ75="1",BI75,0)</f>
      </c>
      <c r="AD75" s="45">
        <f>IF(AQ75="7",BH75,0)</f>
      </c>
      <c r="AE75" s="45">
        <f>IF(AQ75="7",BI75,0)</f>
      </c>
      <c r="AF75" s="45">
        <f>IF(AQ75="2",BH75,0)</f>
      </c>
      <c r="AG75" s="45">
        <f>IF(AQ75="2",BI75,0)</f>
      </c>
      <c r="AH75" s="45">
        <f>IF(AQ75="0",BJ75,0)</f>
      </c>
      <c r="AI75" s="28" t="s">
        <v>45</v>
      </c>
      <c r="AJ75" s="45">
        <f>IF(AN75=0,J75,0)</f>
      </c>
      <c r="AK75" s="45">
        <f>IF(AN75=12,J75,0)</f>
      </c>
      <c r="AL75" s="45">
        <f>IF(AN75=21,J75,0)</f>
      </c>
      <c r="AN75" s="45" t="n">
        <v>12</v>
      </c>
      <c r="AO75" s="45">
        <f>G75*0.968513854</f>
      </c>
      <c r="AP75" s="45">
        <f>G75*(1-0.968513854)</f>
      </c>
      <c r="AQ75" s="47" t="s">
        <v>53</v>
      </c>
      <c r="AV75" s="45">
        <f>AW75+AX75</f>
      </c>
      <c r="AW75" s="45">
        <f>F75*AO75</f>
      </c>
      <c r="AX75" s="45">
        <f>F75*AP75</f>
      </c>
      <c r="AY75" s="47" t="s">
        <v>173</v>
      </c>
      <c r="AZ75" s="47" t="s">
        <v>55</v>
      </c>
      <c r="BA75" s="28" t="s">
        <v>56</v>
      </c>
      <c r="BC75" s="45">
        <f>AW75+AX75</f>
      </c>
      <c r="BD75" s="45">
        <f>G75/(100-BE75)*100</f>
      </c>
      <c r="BE75" s="45" t="n">
        <v>0</v>
      </c>
      <c r="BF75" s="45">
        <f>75</f>
      </c>
      <c r="BH75" s="45">
        <f>F75*AO75</f>
      </c>
      <c r="BI75" s="45">
        <f>F75*AP75</f>
      </c>
      <c r="BJ75" s="45">
        <f>F75*G75</f>
      </c>
      <c r="BK75" s="45"/>
      <c r="BL75" s="45" t="n">
        <v>722</v>
      </c>
      <c r="BW75" s="45" t="n">
        <v>12</v>
      </c>
      <c r="BX75" s="14" t="s">
        <v>237</v>
      </c>
    </row>
    <row r="76" customHeight="true" ht="13.5">
      <c r="A76" s="68"/>
      <c r="B76" s="69" t="s">
        <v>119</v>
      </c>
      <c r="C76" s="70" t="s">
        <v>238</v>
      </c>
      <c r="D76" s="71"/>
      <c r="E76" s="71"/>
      <c r="F76" s="71"/>
      <c r="G76" s="71"/>
      <c r="H76" s="71"/>
      <c r="I76" s="71"/>
      <c r="J76" s="71"/>
      <c r="K76" s="72"/>
    </row>
    <row r="77">
      <c r="A77" s="9" t="s">
        <v>239</v>
      </c>
      <c r="B77" s="10" t="s">
        <v>240</v>
      </c>
      <c r="C77" s="14" t="s">
        <v>241</v>
      </c>
      <c r="D77" s="10"/>
      <c r="E77" s="10" t="s">
        <v>111</v>
      </c>
      <c r="F77" s="45" t="n">
        <v>7</v>
      </c>
      <c r="G77" s="45" t="n">
        <v>0</v>
      </c>
      <c r="H77" s="45">
        <f>F77*AO77</f>
      </c>
      <c r="I77" s="45">
        <f>F77*AP77</f>
      </c>
      <c r="J77" s="45">
        <f>F77*G77</f>
      </c>
      <c r="K77" s="46" t="s">
        <v>52</v>
      </c>
      <c r="Z77" s="45">
        <f>IF(AQ77="5",BJ77,0)</f>
      </c>
      <c r="AB77" s="45">
        <f>IF(AQ77="1",BH77,0)</f>
      </c>
      <c r="AC77" s="45">
        <f>IF(AQ77="1",BI77,0)</f>
      </c>
      <c r="AD77" s="45">
        <f>IF(AQ77="7",BH77,0)</f>
      </c>
      <c r="AE77" s="45">
        <f>IF(AQ77="7",BI77,0)</f>
      </c>
      <c r="AF77" s="45">
        <f>IF(AQ77="2",BH77,0)</f>
      </c>
      <c r="AG77" s="45">
        <f>IF(AQ77="2",BI77,0)</f>
      </c>
      <c r="AH77" s="45">
        <f>IF(AQ77="0",BJ77,0)</f>
      </c>
      <c r="AI77" s="28" t="s">
        <v>45</v>
      </c>
      <c r="AJ77" s="45">
        <f>IF(AN77=0,J77,0)</f>
      </c>
      <c r="AK77" s="45">
        <f>IF(AN77=12,J77,0)</f>
      </c>
      <c r="AL77" s="45">
        <f>IF(AN77=21,J77,0)</f>
      </c>
      <c r="AN77" s="45" t="n">
        <v>12</v>
      </c>
      <c r="AO77" s="45">
        <f>G77*0.040454076</f>
      </c>
      <c r="AP77" s="45">
        <f>G77*(1-0.040454076)</f>
      </c>
      <c r="AQ77" s="47" t="s">
        <v>53</v>
      </c>
      <c r="AV77" s="45">
        <f>AW77+AX77</f>
      </c>
      <c r="AW77" s="45">
        <f>F77*AO77</f>
      </c>
      <c r="AX77" s="45">
        <f>F77*AP77</f>
      </c>
      <c r="AY77" s="47" t="s">
        <v>173</v>
      </c>
      <c r="AZ77" s="47" t="s">
        <v>55</v>
      </c>
      <c r="BA77" s="28" t="s">
        <v>56</v>
      </c>
      <c r="BC77" s="45">
        <f>AW77+AX77</f>
      </c>
      <c r="BD77" s="45">
        <f>G77/(100-BE77)*100</f>
      </c>
      <c r="BE77" s="45" t="n">
        <v>0</v>
      </c>
      <c r="BF77" s="45">
        <f>77</f>
      </c>
      <c r="BH77" s="45">
        <f>F77*AO77</f>
      </c>
      <c r="BI77" s="45">
        <f>F77*AP77</f>
      </c>
      <c r="BJ77" s="45">
        <f>F77*G77</f>
      </c>
      <c r="BK77" s="45"/>
      <c r="BL77" s="45" t="n">
        <v>722</v>
      </c>
      <c r="BW77" s="45" t="n">
        <v>12</v>
      </c>
      <c r="BX77" s="14" t="s">
        <v>241</v>
      </c>
    </row>
    <row r="78">
      <c r="A78" s="9" t="s">
        <v>242</v>
      </c>
      <c r="B78" s="10" t="s">
        <v>243</v>
      </c>
      <c r="C78" s="14" t="s">
        <v>244</v>
      </c>
      <c r="D78" s="10"/>
      <c r="E78" s="10" t="s">
        <v>111</v>
      </c>
      <c r="F78" s="45" t="n">
        <v>16</v>
      </c>
      <c r="G78" s="45" t="n">
        <v>0</v>
      </c>
      <c r="H78" s="45">
        <f>F78*AO78</f>
      </c>
      <c r="I78" s="45">
        <f>F78*AP78</f>
      </c>
      <c r="J78" s="45">
        <f>F78*G78</f>
      </c>
      <c r="K78" s="46" t="s">
        <v>52</v>
      </c>
      <c r="Z78" s="45">
        <f>IF(AQ78="5",BJ78,0)</f>
      </c>
      <c r="AB78" s="45">
        <f>IF(AQ78="1",BH78,0)</f>
      </c>
      <c r="AC78" s="45">
        <f>IF(AQ78="1",BI78,0)</f>
      </c>
      <c r="AD78" s="45">
        <f>IF(AQ78="7",BH78,0)</f>
      </c>
      <c r="AE78" s="45">
        <f>IF(AQ78="7",BI78,0)</f>
      </c>
      <c r="AF78" s="45">
        <f>IF(AQ78="2",BH78,0)</f>
      </c>
      <c r="AG78" s="45">
        <f>IF(AQ78="2",BI78,0)</f>
      </c>
      <c r="AH78" s="45">
        <f>IF(AQ78="0",BJ78,0)</f>
      </c>
      <c r="AI78" s="28" t="s">
        <v>45</v>
      </c>
      <c r="AJ78" s="45">
        <f>IF(AN78=0,J78,0)</f>
      </c>
      <c r="AK78" s="45">
        <f>IF(AN78=12,J78,0)</f>
      </c>
      <c r="AL78" s="45">
        <f>IF(AN78=21,J78,0)</f>
      </c>
      <c r="AN78" s="45" t="n">
        <v>12</v>
      </c>
      <c r="AO78" s="45">
        <f>G78*0.042786885</f>
      </c>
      <c r="AP78" s="45">
        <f>G78*(1-0.042786885)</f>
      </c>
      <c r="AQ78" s="47" t="s">
        <v>53</v>
      </c>
      <c r="AV78" s="45">
        <f>AW78+AX78</f>
      </c>
      <c r="AW78" s="45">
        <f>F78*AO78</f>
      </c>
      <c r="AX78" s="45">
        <f>F78*AP78</f>
      </c>
      <c r="AY78" s="47" t="s">
        <v>173</v>
      </c>
      <c r="AZ78" s="47" t="s">
        <v>55</v>
      </c>
      <c r="BA78" s="28" t="s">
        <v>56</v>
      </c>
      <c r="BC78" s="45">
        <f>AW78+AX78</f>
      </c>
      <c r="BD78" s="45">
        <f>G78/(100-BE78)*100</f>
      </c>
      <c r="BE78" s="45" t="n">
        <v>0</v>
      </c>
      <c r="BF78" s="45">
        <f>78</f>
      </c>
      <c r="BH78" s="45">
        <f>F78*AO78</f>
      </c>
      <c r="BI78" s="45">
        <f>F78*AP78</f>
      </c>
      <c r="BJ78" s="45">
        <f>F78*G78</f>
      </c>
      <c r="BK78" s="45"/>
      <c r="BL78" s="45" t="n">
        <v>722</v>
      </c>
      <c r="BW78" s="45" t="n">
        <v>12</v>
      </c>
      <c r="BX78" s="14" t="s">
        <v>244</v>
      </c>
    </row>
    <row r="79">
      <c r="A79" s="9" t="s">
        <v>245</v>
      </c>
      <c r="B79" s="10" t="s">
        <v>246</v>
      </c>
      <c r="C79" s="14" t="s">
        <v>247</v>
      </c>
      <c r="D79" s="10"/>
      <c r="E79" s="10" t="s">
        <v>111</v>
      </c>
      <c r="F79" s="45" t="n">
        <v>13</v>
      </c>
      <c r="G79" s="45" t="n">
        <v>0</v>
      </c>
      <c r="H79" s="45">
        <f>F79*AO79</f>
      </c>
      <c r="I79" s="45">
        <f>F79*AP79</f>
      </c>
      <c r="J79" s="45">
        <f>F79*G79</f>
      </c>
      <c r="K79" s="46" t="s">
        <v>52</v>
      </c>
      <c r="Z79" s="45">
        <f>IF(AQ79="5",BJ79,0)</f>
      </c>
      <c r="AB79" s="45">
        <f>IF(AQ79="1",BH79,0)</f>
      </c>
      <c r="AC79" s="45">
        <f>IF(AQ79="1",BI79,0)</f>
      </c>
      <c r="AD79" s="45">
        <f>IF(AQ79="7",BH79,0)</f>
      </c>
      <c r="AE79" s="45">
        <f>IF(AQ79="7",BI79,0)</f>
      </c>
      <c r="AF79" s="45">
        <f>IF(AQ79="2",BH79,0)</f>
      </c>
      <c r="AG79" s="45">
        <f>IF(AQ79="2",BI79,0)</f>
      </c>
      <c r="AH79" s="45">
        <f>IF(AQ79="0",BJ79,0)</f>
      </c>
      <c r="AI79" s="28" t="s">
        <v>45</v>
      </c>
      <c r="AJ79" s="45">
        <f>IF(AN79=0,J79,0)</f>
      </c>
      <c r="AK79" s="45">
        <f>IF(AN79=12,J79,0)</f>
      </c>
      <c r="AL79" s="45">
        <f>IF(AN79=21,J79,0)</f>
      </c>
      <c r="AN79" s="45" t="n">
        <v>12</v>
      </c>
      <c r="AO79" s="45">
        <f>G79*0.0575</f>
      </c>
      <c r="AP79" s="45">
        <f>G79*(1-0.0575)</f>
      </c>
      <c r="AQ79" s="47" t="s">
        <v>53</v>
      </c>
      <c r="AV79" s="45">
        <f>AW79+AX79</f>
      </c>
      <c r="AW79" s="45">
        <f>F79*AO79</f>
      </c>
      <c r="AX79" s="45">
        <f>F79*AP79</f>
      </c>
      <c r="AY79" s="47" t="s">
        <v>173</v>
      </c>
      <c r="AZ79" s="47" t="s">
        <v>55</v>
      </c>
      <c r="BA79" s="28" t="s">
        <v>56</v>
      </c>
      <c r="BC79" s="45">
        <f>AW79+AX79</f>
      </c>
      <c r="BD79" s="45">
        <f>G79/(100-BE79)*100</f>
      </c>
      <c r="BE79" s="45" t="n">
        <v>0</v>
      </c>
      <c r="BF79" s="45">
        <f>79</f>
      </c>
      <c r="BH79" s="45">
        <f>F79*AO79</f>
      </c>
      <c r="BI79" s="45">
        <f>F79*AP79</f>
      </c>
      <c r="BJ79" s="45">
        <f>F79*G79</f>
      </c>
      <c r="BK79" s="45"/>
      <c r="BL79" s="45" t="n">
        <v>722</v>
      </c>
      <c r="BW79" s="45" t="n">
        <v>12</v>
      </c>
      <c r="BX79" s="14" t="s">
        <v>247</v>
      </c>
    </row>
    <row r="80">
      <c r="A80" s="9" t="s">
        <v>248</v>
      </c>
      <c r="B80" s="10" t="s">
        <v>249</v>
      </c>
      <c r="C80" s="14" t="s">
        <v>250</v>
      </c>
      <c r="D80" s="10"/>
      <c r="E80" s="10" t="s">
        <v>111</v>
      </c>
      <c r="F80" s="45" t="n">
        <v>1</v>
      </c>
      <c r="G80" s="45" t="n">
        <v>0</v>
      </c>
      <c r="H80" s="45">
        <f>F80*AO80</f>
      </c>
      <c r="I80" s="45">
        <f>F80*AP80</f>
      </c>
      <c r="J80" s="45">
        <f>F80*G80</f>
      </c>
      <c r="K80" s="46" t="s">
        <v>52</v>
      </c>
      <c r="Z80" s="45">
        <f>IF(AQ80="5",BJ80,0)</f>
      </c>
      <c r="AB80" s="45">
        <f>IF(AQ80="1",BH80,0)</f>
      </c>
      <c r="AC80" s="45">
        <f>IF(AQ80="1",BI80,0)</f>
      </c>
      <c r="AD80" s="45">
        <f>IF(AQ80="7",BH80,0)</f>
      </c>
      <c r="AE80" s="45">
        <f>IF(AQ80="7",BI80,0)</f>
      </c>
      <c r="AF80" s="45">
        <f>IF(AQ80="2",BH80,0)</f>
      </c>
      <c r="AG80" s="45">
        <f>IF(AQ80="2",BI80,0)</f>
      </c>
      <c r="AH80" s="45">
        <f>IF(AQ80="0",BJ80,0)</f>
      </c>
      <c r="AI80" s="28" t="s">
        <v>45</v>
      </c>
      <c r="AJ80" s="45">
        <f>IF(AN80=0,J80,0)</f>
      </c>
      <c r="AK80" s="45">
        <f>IF(AN80=12,J80,0)</f>
      </c>
      <c r="AL80" s="45">
        <f>IF(AN80=21,J80,0)</f>
      </c>
      <c r="AN80" s="45" t="n">
        <v>12</v>
      </c>
      <c r="AO80" s="45">
        <f>G80*0.067479177</f>
      </c>
      <c r="AP80" s="45">
        <f>G80*(1-0.067479177)</f>
      </c>
      <c r="AQ80" s="47" t="s">
        <v>53</v>
      </c>
      <c r="AV80" s="45">
        <f>AW80+AX80</f>
      </c>
      <c r="AW80" s="45">
        <f>F80*AO80</f>
      </c>
      <c r="AX80" s="45">
        <f>F80*AP80</f>
      </c>
      <c r="AY80" s="47" t="s">
        <v>173</v>
      </c>
      <c r="AZ80" s="47" t="s">
        <v>55</v>
      </c>
      <c r="BA80" s="28" t="s">
        <v>56</v>
      </c>
      <c r="BC80" s="45">
        <f>AW80+AX80</f>
      </c>
      <c r="BD80" s="45">
        <f>G80/(100-BE80)*100</f>
      </c>
      <c r="BE80" s="45" t="n">
        <v>0</v>
      </c>
      <c r="BF80" s="45">
        <f>80</f>
      </c>
      <c r="BH80" s="45">
        <f>F80*AO80</f>
      </c>
      <c r="BI80" s="45">
        <f>F80*AP80</f>
      </c>
      <c r="BJ80" s="45">
        <f>F80*G80</f>
      </c>
      <c r="BK80" s="45"/>
      <c r="BL80" s="45" t="n">
        <v>722</v>
      </c>
      <c r="BW80" s="45" t="n">
        <v>12</v>
      </c>
      <c r="BX80" s="14" t="s">
        <v>250</v>
      </c>
    </row>
    <row r="81">
      <c r="A81" s="9" t="s">
        <v>251</v>
      </c>
      <c r="B81" s="10" t="s">
        <v>252</v>
      </c>
      <c r="C81" s="14" t="s">
        <v>253</v>
      </c>
      <c r="D81" s="10"/>
      <c r="E81" s="10" t="s">
        <v>111</v>
      </c>
      <c r="F81" s="45" t="n">
        <v>26</v>
      </c>
      <c r="G81" s="45" t="n">
        <v>0</v>
      </c>
      <c r="H81" s="45">
        <f>F81*AO81</f>
      </c>
      <c r="I81" s="45">
        <f>F81*AP81</f>
      </c>
      <c r="J81" s="45">
        <f>F81*G81</f>
      </c>
      <c r="K81" s="46" t="s">
        <v>52</v>
      </c>
      <c r="Z81" s="45">
        <f>IF(AQ81="5",BJ81,0)</f>
      </c>
      <c r="AB81" s="45">
        <f>IF(AQ81="1",BH81,0)</f>
      </c>
      <c r="AC81" s="45">
        <f>IF(AQ81="1",BI81,0)</f>
      </c>
      <c r="AD81" s="45">
        <f>IF(AQ81="7",BH81,0)</f>
      </c>
      <c r="AE81" s="45">
        <f>IF(AQ81="7",BI81,0)</f>
      </c>
      <c r="AF81" s="45">
        <f>IF(AQ81="2",BH81,0)</f>
      </c>
      <c r="AG81" s="45">
        <f>IF(AQ81="2",BI81,0)</f>
      </c>
      <c r="AH81" s="45">
        <f>IF(AQ81="0",BJ81,0)</f>
      </c>
      <c r="AI81" s="28" t="s">
        <v>45</v>
      </c>
      <c r="AJ81" s="45">
        <f>IF(AN81=0,J81,0)</f>
      </c>
      <c r="AK81" s="45">
        <f>IF(AN81=12,J81,0)</f>
      </c>
      <c r="AL81" s="45">
        <f>IF(AN81=21,J81,0)</f>
      </c>
      <c r="AN81" s="45" t="n">
        <v>12</v>
      </c>
      <c r="AO81" s="45">
        <f>G81*0.361768612</f>
      </c>
      <c r="AP81" s="45">
        <f>G81*(1-0.361768612)</f>
      </c>
      <c r="AQ81" s="47" t="s">
        <v>53</v>
      </c>
      <c r="AV81" s="45">
        <f>AW81+AX81</f>
      </c>
      <c r="AW81" s="45">
        <f>F81*AO81</f>
      </c>
      <c r="AX81" s="45">
        <f>F81*AP81</f>
      </c>
      <c r="AY81" s="47" t="s">
        <v>173</v>
      </c>
      <c r="AZ81" s="47" t="s">
        <v>55</v>
      </c>
      <c r="BA81" s="28" t="s">
        <v>56</v>
      </c>
      <c r="BC81" s="45">
        <f>AW81+AX81</f>
      </c>
      <c r="BD81" s="45">
        <f>G81/(100-BE81)*100</f>
      </c>
      <c r="BE81" s="45" t="n">
        <v>0</v>
      </c>
      <c r="BF81" s="45">
        <f>81</f>
      </c>
      <c r="BH81" s="45">
        <f>F81*AO81</f>
      </c>
      <c r="BI81" s="45">
        <f>F81*AP81</f>
      </c>
      <c r="BJ81" s="45">
        <f>F81*G81</f>
      </c>
      <c r="BK81" s="45"/>
      <c r="BL81" s="45" t="n">
        <v>722</v>
      </c>
      <c r="BW81" s="45" t="n">
        <v>12</v>
      </c>
      <c r="BX81" s="14" t="s">
        <v>253</v>
      </c>
    </row>
    <row r="82">
      <c r="A82" s="9" t="s">
        <v>254</v>
      </c>
      <c r="B82" s="10" t="s">
        <v>109</v>
      </c>
      <c r="C82" s="14" t="s">
        <v>255</v>
      </c>
      <c r="D82" s="10"/>
      <c r="E82" s="10" t="s">
        <v>111</v>
      </c>
      <c r="F82" s="45" t="n">
        <v>14</v>
      </c>
      <c r="G82" s="45" t="n">
        <v>0</v>
      </c>
      <c r="H82" s="45">
        <f>F82*AO82</f>
      </c>
      <c r="I82" s="45">
        <f>F82*AP82</f>
      </c>
      <c r="J82" s="45">
        <f>F82*G82</f>
      </c>
      <c r="K82" s="46" t="s">
        <v>52</v>
      </c>
      <c r="Z82" s="45">
        <f>IF(AQ82="5",BJ82,0)</f>
      </c>
      <c r="AB82" s="45">
        <f>IF(AQ82="1",BH82,0)</f>
      </c>
      <c r="AC82" s="45">
        <f>IF(AQ82="1",BI82,0)</f>
      </c>
      <c r="AD82" s="45">
        <f>IF(AQ82="7",BH82,0)</f>
      </c>
      <c r="AE82" s="45">
        <f>IF(AQ82="7",BI82,0)</f>
      </c>
      <c r="AF82" s="45">
        <f>IF(AQ82="2",BH82,0)</f>
      </c>
      <c r="AG82" s="45">
        <f>IF(AQ82="2",BI82,0)</f>
      </c>
      <c r="AH82" s="45">
        <f>IF(AQ82="0",BJ82,0)</f>
      </c>
      <c r="AI82" s="28" t="s">
        <v>45</v>
      </c>
      <c r="AJ82" s="45">
        <f>IF(AN82=0,J82,0)</f>
      </c>
      <c r="AK82" s="45">
        <f>IF(AN82=12,J82,0)</f>
      </c>
      <c r="AL82" s="45">
        <f>IF(AN82=21,J82,0)</f>
      </c>
      <c r="AN82" s="45" t="n">
        <v>12</v>
      </c>
      <c r="AO82" s="45">
        <f>G82*0.317479542</f>
      </c>
      <c r="AP82" s="45">
        <f>G82*(1-0.317479542)</f>
      </c>
      <c r="AQ82" s="47" t="s">
        <v>53</v>
      </c>
      <c r="AV82" s="45">
        <f>AW82+AX82</f>
      </c>
      <c r="AW82" s="45">
        <f>F82*AO82</f>
      </c>
      <c r="AX82" s="45">
        <f>F82*AP82</f>
      </c>
      <c r="AY82" s="47" t="s">
        <v>173</v>
      </c>
      <c r="AZ82" s="47" t="s">
        <v>55</v>
      </c>
      <c r="BA82" s="28" t="s">
        <v>56</v>
      </c>
      <c r="BC82" s="45">
        <f>AW82+AX82</f>
      </c>
      <c r="BD82" s="45">
        <f>G82/(100-BE82)*100</f>
      </c>
      <c r="BE82" s="45" t="n">
        <v>0</v>
      </c>
      <c r="BF82" s="45">
        <f>82</f>
      </c>
      <c r="BH82" s="45">
        <f>F82*AO82</f>
      </c>
      <c r="BI82" s="45">
        <f>F82*AP82</f>
      </c>
      <c r="BJ82" s="45">
        <f>F82*G82</f>
      </c>
      <c r="BK82" s="45"/>
      <c r="BL82" s="45" t="n">
        <v>722</v>
      </c>
      <c r="BW82" s="45" t="n">
        <v>12</v>
      </c>
      <c r="BX82" s="14" t="s">
        <v>255</v>
      </c>
    </row>
    <row r="83">
      <c r="A83" s="9" t="s">
        <v>256</v>
      </c>
      <c r="B83" s="10" t="s">
        <v>130</v>
      </c>
      <c r="C83" s="14" t="s">
        <v>131</v>
      </c>
      <c r="D83" s="10"/>
      <c r="E83" s="10" t="s">
        <v>51</v>
      </c>
      <c r="F83" s="45" t="n">
        <v>122</v>
      </c>
      <c r="G83" s="45" t="n">
        <v>0</v>
      </c>
      <c r="H83" s="45">
        <f>F83*AO83</f>
      </c>
      <c r="I83" s="45">
        <f>F83*AP83</f>
      </c>
      <c r="J83" s="45">
        <f>F83*G83</f>
      </c>
      <c r="K83" s="46" t="s">
        <v>115</v>
      </c>
      <c r="Z83" s="45">
        <f>IF(AQ83="5",BJ83,0)</f>
      </c>
      <c r="AB83" s="45">
        <f>IF(AQ83="1",BH83,0)</f>
      </c>
      <c r="AC83" s="45">
        <f>IF(AQ83="1",BI83,0)</f>
      </c>
      <c r="AD83" s="45">
        <f>IF(AQ83="7",BH83,0)</f>
      </c>
      <c r="AE83" s="45">
        <f>IF(AQ83="7",BI83,0)</f>
      </c>
      <c r="AF83" s="45">
        <f>IF(AQ83="2",BH83,0)</f>
      </c>
      <c r="AG83" s="45">
        <f>IF(AQ83="2",BI83,0)</f>
      </c>
      <c r="AH83" s="45">
        <f>IF(AQ83="0",BJ83,0)</f>
      </c>
      <c r="AI83" s="28" t="s">
        <v>45</v>
      </c>
      <c r="AJ83" s="45">
        <f>IF(AN83=0,J83,0)</f>
      </c>
      <c r="AK83" s="45">
        <f>IF(AN83=12,J83,0)</f>
      </c>
      <c r="AL83" s="45">
        <f>IF(AN83=21,J83,0)</f>
      </c>
      <c r="AN83" s="45" t="n">
        <v>12</v>
      </c>
      <c r="AO83" s="45">
        <f>G83*0</f>
      </c>
      <c r="AP83" s="45">
        <f>G83*(1-0)</f>
      </c>
      <c r="AQ83" s="47" t="s">
        <v>53</v>
      </c>
      <c r="AV83" s="45">
        <f>AW83+AX83</f>
      </c>
      <c r="AW83" s="45">
        <f>F83*AO83</f>
      </c>
      <c r="AX83" s="45">
        <f>F83*AP83</f>
      </c>
      <c r="AY83" s="47" t="s">
        <v>173</v>
      </c>
      <c r="AZ83" s="47" t="s">
        <v>55</v>
      </c>
      <c r="BA83" s="28" t="s">
        <v>56</v>
      </c>
      <c r="BC83" s="45">
        <f>AW83+AX83</f>
      </c>
      <c r="BD83" s="45">
        <f>G83/(100-BE83)*100</f>
      </c>
      <c r="BE83" s="45" t="n">
        <v>0</v>
      </c>
      <c r="BF83" s="45">
        <f>83</f>
      </c>
      <c r="BH83" s="45">
        <f>F83*AO83</f>
      </c>
      <c r="BI83" s="45">
        <f>F83*AP83</f>
      </c>
      <c r="BJ83" s="45">
        <f>F83*G83</f>
      </c>
      <c r="BK83" s="45"/>
      <c r="BL83" s="45" t="n">
        <v>722</v>
      </c>
      <c r="BW83" s="45" t="n">
        <v>12</v>
      </c>
      <c r="BX83" s="14" t="s">
        <v>131</v>
      </c>
    </row>
    <row r="84">
      <c r="A84" s="9" t="s">
        <v>257</v>
      </c>
      <c r="B84" s="10" t="s">
        <v>127</v>
      </c>
      <c r="C84" s="14" t="s">
        <v>128</v>
      </c>
      <c r="D84" s="10"/>
      <c r="E84" s="10" t="s">
        <v>51</v>
      </c>
      <c r="F84" s="45" t="n">
        <v>95</v>
      </c>
      <c r="G84" s="45" t="n">
        <v>0</v>
      </c>
      <c r="H84" s="45">
        <f>F84*AO84</f>
      </c>
      <c r="I84" s="45">
        <f>F84*AP84</f>
      </c>
      <c r="J84" s="45">
        <f>F84*G84</f>
      </c>
      <c r="K84" s="46" t="s">
        <v>115</v>
      </c>
      <c r="Z84" s="45">
        <f>IF(AQ84="5",BJ84,0)</f>
      </c>
      <c r="AB84" s="45">
        <f>IF(AQ84="1",BH84,0)</f>
      </c>
      <c r="AC84" s="45">
        <f>IF(AQ84="1",BI84,0)</f>
      </c>
      <c r="AD84" s="45">
        <f>IF(AQ84="7",BH84,0)</f>
      </c>
      <c r="AE84" s="45">
        <f>IF(AQ84="7",BI84,0)</f>
      </c>
      <c r="AF84" s="45">
        <f>IF(AQ84="2",BH84,0)</f>
      </c>
      <c r="AG84" s="45">
        <f>IF(AQ84="2",BI84,0)</f>
      </c>
      <c r="AH84" s="45">
        <f>IF(AQ84="0",BJ84,0)</f>
      </c>
      <c r="AI84" s="28" t="s">
        <v>45</v>
      </c>
      <c r="AJ84" s="45">
        <f>IF(AN84=0,J84,0)</f>
      </c>
      <c r="AK84" s="45">
        <f>IF(AN84=12,J84,0)</f>
      </c>
      <c r="AL84" s="45">
        <f>IF(AN84=21,J84,0)</f>
      </c>
      <c r="AN84" s="45" t="n">
        <v>12</v>
      </c>
      <c r="AO84" s="45">
        <f>G84*0</f>
      </c>
      <c r="AP84" s="45">
        <f>G84*(1-0)</f>
      </c>
      <c r="AQ84" s="47" t="s">
        <v>53</v>
      </c>
      <c r="AV84" s="45">
        <f>AW84+AX84</f>
      </c>
      <c r="AW84" s="45">
        <f>F84*AO84</f>
      </c>
      <c r="AX84" s="45">
        <f>F84*AP84</f>
      </c>
      <c r="AY84" s="47" t="s">
        <v>173</v>
      </c>
      <c r="AZ84" s="47" t="s">
        <v>55</v>
      </c>
      <c r="BA84" s="28" t="s">
        <v>56</v>
      </c>
      <c r="BC84" s="45">
        <f>AW84+AX84</f>
      </c>
      <c r="BD84" s="45">
        <f>G84/(100-BE84)*100</f>
      </c>
      <c r="BE84" s="45" t="n">
        <v>0</v>
      </c>
      <c r="BF84" s="45">
        <f>84</f>
      </c>
      <c r="BH84" s="45">
        <f>F84*AO84</f>
      </c>
      <c r="BI84" s="45">
        <f>F84*AP84</f>
      </c>
      <c r="BJ84" s="45">
        <f>F84*G84</f>
      </c>
      <c r="BK84" s="45"/>
      <c r="BL84" s="45" t="n">
        <v>722</v>
      </c>
      <c r="BW84" s="45" t="n">
        <v>12</v>
      </c>
      <c r="BX84" s="14" t="s">
        <v>128</v>
      </c>
    </row>
    <row r="85" ht="24.75">
      <c r="A85" s="9" t="s">
        <v>258</v>
      </c>
      <c r="B85" s="10" t="s">
        <v>259</v>
      </c>
      <c r="C85" s="14" t="s">
        <v>260</v>
      </c>
      <c r="D85" s="10"/>
      <c r="E85" s="10" t="s">
        <v>111</v>
      </c>
      <c r="F85" s="45" t="n">
        <v>2</v>
      </c>
      <c r="G85" s="45" t="n">
        <v>0</v>
      </c>
      <c r="H85" s="45">
        <f>F85*AO85</f>
      </c>
      <c r="I85" s="45">
        <f>F85*AP85</f>
      </c>
      <c r="J85" s="45">
        <f>F85*G85</f>
      </c>
      <c r="K85" s="46" t="s">
        <v>52</v>
      </c>
      <c r="Z85" s="45">
        <f>IF(AQ85="5",BJ85,0)</f>
      </c>
      <c r="AB85" s="45">
        <f>IF(AQ85="1",BH85,0)</f>
      </c>
      <c r="AC85" s="45">
        <f>IF(AQ85="1",BI85,0)</f>
      </c>
      <c r="AD85" s="45">
        <f>IF(AQ85="7",BH85,0)</f>
      </c>
      <c r="AE85" s="45">
        <f>IF(AQ85="7",BI85,0)</f>
      </c>
      <c r="AF85" s="45">
        <f>IF(AQ85="2",BH85,0)</f>
      </c>
      <c r="AG85" s="45">
        <f>IF(AQ85="2",BI85,0)</f>
      </c>
      <c r="AH85" s="45">
        <f>IF(AQ85="0",BJ85,0)</f>
      </c>
      <c r="AI85" s="28" t="s">
        <v>45</v>
      </c>
      <c r="AJ85" s="45">
        <f>IF(AN85=0,J85,0)</f>
      </c>
      <c r="AK85" s="45">
        <f>IF(AN85=12,J85,0)</f>
      </c>
      <c r="AL85" s="45">
        <f>IF(AN85=21,J85,0)</f>
      </c>
      <c r="AN85" s="45" t="n">
        <v>12</v>
      </c>
      <c r="AO85" s="45">
        <f>G85*0.91450803</f>
      </c>
      <c r="AP85" s="45">
        <f>G85*(1-0.91450803)</f>
      </c>
      <c r="AQ85" s="47" t="s">
        <v>53</v>
      </c>
      <c r="AV85" s="45">
        <f>AW85+AX85</f>
      </c>
      <c r="AW85" s="45">
        <f>F85*AO85</f>
      </c>
      <c r="AX85" s="45">
        <f>F85*AP85</f>
      </c>
      <c r="AY85" s="47" t="s">
        <v>173</v>
      </c>
      <c r="AZ85" s="47" t="s">
        <v>55</v>
      </c>
      <c r="BA85" s="28" t="s">
        <v>56</v>
      </c>
      <c r="BC85" s="45">
        <f>AW85+AX85</f>
      </c>
      <c r="BD85" s="45">
        <f>G85/(100-BE85)*100</f>
      </c>
      <c r="BE85" s="45" t="n">
        <v>0</v>
      </c>
      <c r="BF85" s="45">
        <f>85</f>
      </c>
      <c r="BH85" s="45">
        <f>F85*AO85</f>
      </c>
      <c r="BI85" s="45">
        <f>F85*AP85</f>
      </c>
      <c r="BJ85" s="45">
        <f>F85*G85</f>
      </c>
      <c r="BK85" s="45"/>
      <c r="BL85" s="45" t="n">
        <v>722</v>
      </c>
      <c r="BW85" s="45" t="n">
        <v>12</v>
      </c>
      <c r="BX85" s="14" t="s">
        <v>260</v>
      </c>
    </row>
    <row r="86">
      <c r="A86" s="9" t="s">
        <v>261</v>
      </c>
      <c r="B86" s="10" t="s">
        <v>262</v>
      </c>
      <c r="C86" s="14" t="s">
        <v>263</v>
      </c>
      <c r="D86" s="10"/>
      <c r="E86" s="10" t="s">
        <v>111</v>
      </c>
      <c r="F86" s="45" t="n">
        <v>2</v>
      </c>
      <c r="G86" s="45" t="n">
        <v>0</v>
      </c>
      <c r="H86" s="45">
        <f>F86*AO86</f>
      </c>
      <c r="I86" s="45">
        <f>F86*AP86</f>
      </c>
      <c r="J86" s="45">
        <f>F86*G86</f>
      </c>
      <c r="K86" s="46" t="s">
        <v>52</v>
      </c>
      <c r="Z86" s="45">
        <f>IF(AQ86="5",BJ86,0)</f>
      </c>
      <c r="AB86" s="45">
        <f>IF(AQ86="1",BH86,0)</f>
      </c>
      <c r="AC86" s="45">
        <f>IF(AQ86="1",BI86,0)</f>
      </c>
      <c r="AD86" s="45">
        <f>IF(AQ86="7",BH86,0)</f>
      </c>
      <c r="AE86" s="45">
        <f>IF(AQ86="7",BI86,0)</f>
      </c>
      <c r="AF86" s="45">
        <f>IF(AQ86="2",BH86,0)</f>
      </c>
      <c r="AG86" s="45">
        <f>IF(AQ86="2",BI86,0)</f>
      </c>
      <c r="AH86" s="45">
        <f>IF(AQ86="0",BJ86,0)</f>
      </c>
      <c r="AI86" s="28" t="s">
        <v>45</v>
      </c>
      <c r="AJ86" s="45">
        <f>IF(AN86=0,J86,0)</f>
      </c>
      <c r="AK86" s="45">
        <f>IF(AN86=12,J86,0)</f>
      </c>
      <c r="AL86" s="45">
        <f>IF(AN86=21,J86,0)</f>
      </c>
      <c r="AN86" s="45" t="n">
        <v>12</v>
      </c>
      <c r="AO86" s="45">
        <f>G86*0</f>
      </c>
      <c r="AP86" s="45">
        <f>G86*(1-0)</f>
      </c>
      <c r="AQ86" s="47" t="s">
        <v>53</v>
      </c>
      <c r="AV86" s="45">
        <f>AW86+AX86</f>
      </c>
      <c r="AW86" s="45">
        <f>F86*AO86</f>
      </c>
      <c r="AX86" s="45">
        <f>F86*AP86</f>
      </c>
      <c r="AY86" s="47" t="s">
        <v>173</v>
      </c>
      <c r="AZ86" s="47" t="s">
        <v>55</v>
      </c>
      <c r="BA86" s="28" t="s">
        <v>56</v>
      </c>
      <c r="BC86" s="45">
        <f>AW86+AX86</f>
      </c>
      <c r="BD86" s="45">
        <f>G86/(100-BE86)*100</f>
      </c>
      <c r="BE86" s="45" t="n">
        <v>0</v>
      </c>
      <c r="BF86" s="45">
        <f>86</f>
      </c>
      <c r="BH86" s="45">
        <f>F86*AO86</f>
      </c>
      <c r="BI86" s="45">
        <f>F86*AP86</f>
      </c>
      <c r="BJ86" s="45">
        <f>F86*G86</f>
      </c>
      <c r="BK86" s="45"/>
      <c r="BL86" s="45" t="n">
        <v>722</v>
      </c>
      <c r="BW86" s="45" t="n">
        <v>12</v>
      </c>
      <c r="BX86" s="14" t="s">
        <v>263</v>
      </c>
    </row>
    <row r="87">
      <c r="A87" s="9" t="s">
        <v>264</v>
      </c>
      <c r="B87" s="10" t="s">
        <v>265</v>
      </c>
      <c r="C87" s="14" t="s">
        <v>266</v>
      </c>
      <c r="D87" s="10"/>
      <c r="E87" s="10" t="s">
        <v>51</v>
      </c>
      <c r="F87" s="45" t="n">
        <v>4</v>
      </c>
      <c r="G87" s="45" t="n">
        <v>0</v>
      </c>
      <c r="H87" s="45">
        <f>F87*AO87</f>
      </c>
      <c r="I87" s="45">
        <f>F87*AP87</f>
      </c>
      <c r="J87" s="45">
        <f>F87*G87</f>
      </c>
      <c r="K87" s="46" t="s">
        <v>52</v>
      </c>
      <c r="Z87" s="45">
        <f>IF(AQ87="5",BJ87,0)</f>
      </c>
      <c r="AB87" s="45">
        <f>IF(AQ87="1",BH87,0)</f>
      </c>
      <c r="AC87" s="45">
        <f>IF(AQ87="1",BI87,0)</f>
      </c>
      <c r="AD87" s="45">
        <f>IF(AQ87="7",BH87,0)</f>
      </c>
      <c r="AE87" s="45">
        <f>IF(AQ87="7",BI87,0)</f>
      </c>
      <c r="AF87" s="45">
        <f>IF(AQ87="2",BH87,0)</f>
      </c>
      <c r="AG87" s="45">
        <f>IF(AQ87="2",BI87,0)</f>
      </c>
      <c r="AH87" s="45">
        <f>IF(AQ87="0",BJ87,0)</f>
      </c>
      <c r="AI87" s="28" t="s">
        <v>45</v>
      </c>
      <c r="AJ87" s="45">
        <f>IF(AN87=0,J87,0)</f>
      </c>
      <c r="AK87" s="45">
        <f>IF(AN87=12,J87,0)</f>
      </c>
      <c r="AL87" s="45">
        <f>IF(AN87=21,J87,0)</f>
      </c>
      <c r="AN87" s="45" t="n">
        <v>12</v>
      </c>
      <c r="AO87" s="45">
        <f>G87*0.415716206</f>
      </c>
      <c r="AP87" s="45">
        <f>G87*(1-0.415716206)</f>
      </c>
      <c r="AQ87" s="47" t="s">
        <v>53</v>
      </c>
      <c r="AV87" s="45">
        <f>AW87+AX87</f>
      </c>
      <c r="AW87" s="45">
        <f>F87*AO87</f>
      </c>
      <c r="AX87" s="45">
        <f>F87*AP87</f>
      </c>
      <c r="AY87" s="47" t="s">
        <v>173</v>
      </c>
      <c r="AZ87" s="47" t="s">
        <v>55</v>
      </c>
      <c r="BA87" s="28" t="s">
        <v>56</v>
      </c>
      <c r="BC87" s="45">
        <f>AW87+AX87</f>
      </c>
      <c r="BD87" s="45">
        <f>G87/(100-BE87)*100</f>
      </c>
      <c r="BE87" s="45" t="n">
        <v>0</v>
      </c>
      <c r="BF87" s="45">
        <f>87</f>
      </c>
      <c r="BH87" s="45">
        <f>F87*AO87</f>
      </c>
      <c r="BI87" s="45">
        <f>F87*AP87</f>
      </c>
      <c r="BJ87" s="45">
        <f>F87*G87</f>
      </c>
      <c r="BK87" s="45"/>
      <c r="BL87" s="45" t="n">
        <v>722</v>
      </c>
      <c r="BW87" s="45" t="n">
        <v>12</v>
      </c>
      <c r="BX87" s="14" t="s">
        <v>266</v>
      </c>
    </row>
    <row r="88">
      <c r="A88" s="9" t="s">
        <v>267</v>
      </c>
      <c r="B88" s="10" t="s">
        <v>268</v>
      </c>
      <c r="C88" s="14" t="s">
        <v>269</v>
      </c>
      <c r="D88" s="10"/>
      <c r="E88" s="10" t="s">
        <v>51</v>
      </c>
      <c r="F88" s="45" t="n">
        <v>10</v>
      </c>
      <c r="G88" s="45" t="n">
        <v>0</v>
      </c>
      <c r="H88" s="45">
        <f>F88*AO88</f>
      </c>
      <c r="I88" s="45">
        <f>F88*AP88</f>
      </c>
      <c r="J88" s="45">
        <f>F88*G88</f>
      </c>
      <c r="K88" s="46" t="s">
        <v>52</v>
      </c>
      <c r="Z88" s="45">
        <f>IF(AQ88="5",BJ88,0)</f>
      </c>
      <c r="AB88" s="45">
        <f>IF(AQ88="1",BH88,0)</f>
      </c>
      <c r="AC88" s="45">
        <f>IF(AQ88="1",BI88,0)</f>
      </c>
      <c r="AD88" s="45">
        <f>IF(AQ88="7",BH88,0)</f>
      </c>
      <c r="AE88" s="45">
        <f>IF(AQ88="7",BI88,0)</f>
      </c>
      <c r="AF88" s="45">
        <f>IF(AQ88="2",BH88,0)</f>
      </c>
      <c r="AG88" s="45">
        <f>IF(AQ88="2",BI88,0)</f>
      </c>
      <c r="AH88" s="45">
        <f>IF(AQ88="0",BJ88,0)</f>
      </c>
      <c r="AI88" s="28" t="s">
        <v>45</v>
      </c>
      <c r="AJ88" s="45">
        <f>IF(AN88=0,J88,0)</f>
      </c>
      <c r="AK88" s="45">
        <f>IF(AN88=12,J88,0)</f>
      </c>
      <c r="AL88" s="45">
        <f>IF(AN88=21,J88,0)</f>
      </c>
      <c r="AN88" s="45" t="n">
        <v>12</v>
      </c>
      <c r="AO88" s="45">
        <f>G88*0.64787797</f>
      </c>
      <c r="AP88" s="45">
        <f>G88*(1-0.64787797)</f>
      </c>
      <c r="AQ88" s="47" t="s">
        <v>53</v>
      </c>
      <c r="AV88" s="45">
        <f>AW88+AX88</f>
      </c>
      <c r="AW88" s="45">
        <f>F88*AO88</f>
      </c>
      <c r="AX88" s="45">
        <f>F88*AP88</f>
      </c>
      <c r="AY88" s="47" t="s">
        <v>173</v>
      </c>
      <c r="AZ88" s="47" t="s">
        <v>55</v>
      </c>
      <c r="BA88" s="28" t="s">
        <v>56</v>
      </c>
      <c r="BC88" s="45">
        <f>AW88+AX88</f>
      </c>
      <c r="BD88" s="45">
        <f>G88/(100-BE88)*100</f>
      </c>
      <c r="BE88" s="45" t="n">
        <v>0</v>
      </c>
      <c r="BF88" s="45">
        <f>88</f>
      </c>
      <c r="BH88" s="45">
        <f>F88*AO88</f>
      </c>
      <c r="BI88" s="45">
        <f>F88*AP88</f>
      </c>
      <c r="BJ88" s="45">
        <f>F88*G88</f>
      </c>
      <c r="BK88" s="45"/>
      <c r="BL88" s="45" t="n">
        <v>722</v>
      </c>
      <c r="BW88" s="45" t="n">
        <v>12</v>
      </c>
      <c r="BX88" s="14" t="s">
        <v>269</v>
      </c>
    </row>
    <row r="89">
      <c r="A89" s="9" t="s">
        <v>270</v>
      </c>
      <c r="B89" s="10" t="s">
        <v>271</v>
      </c>
      <c r="C89" s="14" t="s">
        <v>272</v>
      </c>
      <c r="D89" s="10"/>
      <c r="E89" s="10" t="s">
        <v>51</v>
      </c>
      <c r="F89" s="45" t="n">
        <v>4</v>
      </c>
      <c r="G89" s="45" t="n">
        <v>0</v>
      </c>
      <c r="H89" s="45">
        <f>F89*AO89</f>
      </c>
      <c r="I89" s="45">
        <f>F89*AP89</f>
      </c>
      <c r="J89" s="45">
        <f>F89*G89</f>
      </c>
      <c r="K89" s="46" t="s">
        <v>52</v>
      </c>
      <c r="Z89" s="45">
        <f>IF(AQ89="5",BJ89,0)</f>
      </c>
      <c r="AB89" s="45">
        <f>IF(AQ89="1",BH89,0)</f>
      </c>
      <c r="AC89" s="45">
        <f>IF(AQ89="1",BI89,0)</f>
      </c>
      <c r="AD89" s="45">
        <f>IF(AQ89="7",BH89,0)</f>
      </c>
      <c r="AE89" s="45">
        <f>IF(AQ89="7",BI89,0)</f>
      </c>
      <c r="AF89" s="45">
        <f>IF(AQ89="2",BH89,0)</f>
      </c>
      <c r="AG89" s="45">
        <f>IF(AQ89="2",BI89,0)</f>
      </c>
      <c r="AH89" s="45">
        <f>IF(AQ89="0",BJ89,0)</f>
      </c>
      <c r="AI89" s="28" t="s">
        <v>45</v>
      </c>
      <c r="AJ89" s="45">
        <f>IF(AN89=0,J89,0)</f>
      </c>
      <c r="AK89" s="45">
        <f>IF(AN89=12,J89,0)</f>
      </c>
      <c r="AL89" s="45">
        <f>IF(AN89=21,J89,0)</f>
      </c>
      <c r="AN89" s="45" t="n">
        <v>12</v>
      </c>
      <c r="AO89" s="45">
        <f>G89*0.448195489</f>
      </c>
      <c r="AP89" s="45">
        <f>G89*(1-0.448195489)</f>
      </c>
      <c r="AQ89" s="47" t="s">
        <v>53</v>
      </c>
      <c r="AV89" s="45">
        <f>AW89+AX89</f>
      </c>
      <c r="AW89" s="45">
        <f>F89*AO89</f>
      </c>
      <c r="AX89" s="45">
        <f>F89*AP89</f>
      </c>
      <c r="AY89" s="47" t="s">
        <v>173</v>
      </c>
      <c r="AZ89" s="47" t="s">
        <v>55</v>
      </c>
      <c r="BA89" s="28" t="s">
        <v>56</v>
      </c>
      <c r="BC89" s="45">
        <f>AW89+AX89</f>
      </c>
      <c r="BD89" s="45">
        <f>G89/(100-BE89)*100</f>
      </c>
      <c r="BE89" s="45" t="n">
        <v>0</v>
      </c>
      <c r="BF89" s="45">
        <f>89</f>
      </c>
      <c r="BH89" s="45">
        <f>F89*AO89</f>
      </c>
      <c r="BI89" s="45">
        <f>F89*AP89</f>
      </c>
      <c r="BJ89" s="45">
        <f>F89*G89</f>
      </c>
      <c r="BK89" s="45"/>
      <c r="BL89" s="45" t="n">
        <v>722</v>
      </c>
      <c r="BW89" s="45" t="n">
        <v>12</v>
      </c>
      <c r="BX89" s="14" t="s">
        <v>272</v>
      </c>
    </row>
    <row r="90">
      <c r="A90" s="9" t="s">
        <v>273</v>
      </c>
      <c r="B90" s="10" t="s">
        <v>274</v>
      </c>
      <c r="C90" s="14" t="s">
        <v>275</v>
      </c>
      <c r="D90" s="10"/>
      <c r="E90" s="10" t="s">
        <v>51</v>
      </c>
      <c r="F90" s="45" t="n">
        <v>10</v>
      </c>
      <c r="G90" s="45" t="n">
        <v>0</v>
      </c>
      <c r="H90" s="45">
        <f>F90*AO90</f>
      </c>
      <c r="I90" s="45">
        <f>F90*AP90</f>
      </c>
      <c r="J90" s="45">
        <f>F90*G90</f>
      </c>
      <c r="K90" s="46" t="s">
        <v>52</v>
      </c>
      <c r="Z90" s="45">
        <f>IF(AQ90="5",BJ90,0)</f>
      </c>
      <c r="AB90" s="45">
        <f>IF(AQ90="1",BH90,0)</f>
      </c>
      <c r="AC90" s="45">
        <f>IF(AQ90="1",BI90,0)</f>
      </c>
      <c r="AD90" s="45">
        <f>IF(AQ90="7",BH90,0)</f>
      </c>
      <c r="AE90" s="45">
        <f>IF(AQ90="7",BI90,0)</f>
      </c>
      <c r="AF90" s="45">
        <f>IF(AQ90="2",BH90,0)</f>
      </c>
      <c r="AG90" s="45">
        <f>IF(AQ90="2",BI90,0)</f>
      </c>
      <c r="AH90" s="45">
        <f>IF(AQ90="0",BJ90,0)</f>
      </c>
      <c r="AI90" s="28" t="s">
        <v>45</v>
      </c>
      <c r="AJ90" s="45">
        <f>IF(AN90=0,J90,0)</f>
      </c>
      <c r="AK90" s="45">
        <f>IF(AN90=12,J90,0)</f>
      </c>
      <c r="AL90" s="45">
        <f>IF(AN90=21,J90,0)</f>
      </c>
      <c r="AN90" s="45" t="n">
        <v>12</v>
      </c>
      <c r="AO90" s="45">
        <f>G90*0.4832</f>
      </c>
      <c r="AP90" s="45">
        <f>G90*(1-0.4832)</f>
      </c>
      <c r="AQ90" s="47" t="s">
        <v>53</v>
      </c>
      <c r="AV90" s="45">
        <f>AW90+AX90</f>
      </c>
      <c r="AW90" s="45">
        <f>F90*AO90</f>
      </c>
      <c r="AX90" s="45">
        <f>F90*AP90</f>
      </c>
      <c r="AY90" s="47" t="s">
        <v>173</v>
      </c>
      <c r="AZ90" s="47" t="s">
        <v>55</v>
      </c>
      <c r="BA90" s="28" t="s">
        <v>56</v>
      </c>
      <c r="BC90" s="45">
        <f>AW90+AX90</f>
      </c>
      <c r="BD90" s="45">
        <f>G90/(100-BE90)*100</f>
      </c>
      <c r="BE90" s="45" t="n">
        <v>0</v>
      </c>
      <c r="BF90" s="45">
        <f>90</f>
      </c>
      <c r="BH90" s="45">
        <f>F90*AO90</f>
      </c>
      <c r="BI90" s="45">
        <f>F90*AP90</f>
      </c>
      <c r="BJ90" s="45">
        <f>F90*G90</f>
      </c>
      <c r="BK90" s="45"/>
      <c r="BL90" s="45" t="n">
        <v>722</v>
      </c>
      <c r="BW90" s="45" t="n">
        <v>12</v>
      </c>
      <c r="BX90" s="14" t="s">
        <v>275</v>
      </c>
    </row>
    <row r="91">
      <c r="A91" s="9" t="s">
        <v>276</v>
      </c>
      <c r="B91" s="10" t="s">
        <v>277</v>
      </c>
      <c r="C91" s="14" t="s">
        <v>278</v>
      </c>
      <c r="D91" s="10"/>
      <c r="E91" s="10" t="s">
        <v>111</v>
      </c>
      <c r="F91" s="45" t="n">
        <v>2</v>
      </c>
      <c r="G91" s="45" t="n">
        <v>0</v>
      </c>
      <c r="H91" s="45">
        <f>F91*AO91</f>
      </c>
      <c r="I91" s="45">
        <f>F91*AP91</f>
      </c>
      <c r="J91" s="45">
        <f>F91*G91</f>
      </c>
      <c r="K91" s="46" t="s">
        <v>52</v>
      </c>
      <c r="Z91" s="45">
        <f>IF(AQ91="5",BJ91,0)</f>
      </c>
      <c r="AB91" s="45">
        <f>IF(AQ91="1",BH91,0)</f>
      </c>
      <c r="AC91" s="45">
        <f>IF(AQ91="1",BI91,0)</f>
      </c>
      <c r="AD91" s="45">
        <f>IF(AQ91="7",BH91,0)</f>
      </c>
      <c r="AE91" s="45">
        <f>IF(AQ91="7",BI91,0)</f>
      </c>
      <c r="AF91" s="45">
        <f>IF(AQ91="2",BH91,0)</f>
      </c>
      <c r="AG91" s="45">
        <f>IF(AQ91="2",BI91,0)</f>
      </c>
      <c r="AH91" s="45">
        <f>IF(AQ91="0",BJ91,0)</f>
      </c>
      <c r="AI91" s="28" t="s">
        <v>45</v>
      </c>
      <c r="AJ91" s="45">
        <f>IF(AN91=0,J91,0)</f>
      </c>
      <c r="AK91" s="45">
        <f>IF(AN91=12,J91,0)</f>
      </c>
      <c r="AL91" s="45">
        <f>IF(AN91=21,J91,0)</f>
      </c>
      <c r="AN91" s="45" t="n">
        <v>12</v>
      </c>
      <c r="AO91" s="45">
        <f>G91*0</f>
      </c>
      <c r="AP91" s="45">
        <f>G91*(1-0)</f>
      </c>
      <c r="AQ91" s="47" t="s">
        <v>53</v>
      </c>
      <c r="AV91" s="45">
        <f>AW91+AX91</f>
      </c>
      <c r="AW91" s="45">
        <f>F91*AO91</f>
      </c>
      <c r="AX91" s="45">
        <f>F91*AP91</f>
      </c>
      <c r="AY91" s="47" t="s">
        <v>173</v>
      </c>
      <c r="AZ91" s="47" t="s">
        <v>55</v>
      </c>
      <c r="BA91" s="28" t="s">
        <v>56</v>
      </c>
      <c r="BC91" s="45">
        <f>AW91+AX91</f>
      </c>
      <c r="BD91" s="45">
        <f>G91/(100-BE91)*100</f>
      </c>
      <c r="BE91" s="45" t="n">
        <v>0</v>
      </c>
      <c r="BF91" s="45">
        <f>91</f>
      </c>
      <c r="BH91" s="45">
        <f>F91*AO91</f>
      </c>
      <c r="BI91" s="45">
        <f>F91*AP91</f>
      </c>
      <c r="BJ91" s="45">
        <f>F91*G91</f>
      </c>
      <c r="BK91" s="45"/>
      <c r="BL91" s="45" t="n">
        <v>722</v>
      </c>
      <c r="BW91" s="45" t="n">
        <v>12</v>
      </c>
      <c r="BX91" s="14" t="s">
        <v>278</v>
      </c>
    </row>
    <row r="92">
      <c r="A92" s="9" t="s">
        <v>279</v>
      </c>
      <c r="B92" s="10" t="s">
        <v>280</v>
      </c>
      <c r="C92" s="14" t="s">
        <v>281</v>
      </c>
      <c r="D92" s="10"/>
      <c r="E92" s="10" t="s">
        <v>111</v>
      </c>
      <c r="F92" s="45" t="n">
        <v>2</v>
      </c>
      <c r="G92" s="45" t="n">
        <v>0</v>
      </c>
      <c r="H92" s="45">
        <f>F92*AO92</f>
      </c>
      <c r="I92" s="45">
        <f>F92*AP92</f>
      </c>
      <c r="J92" s="45">
        <f>F92*G92</f>
      </c>
      <c r="K92" s="46" t="s">
        <v>52</v>
      </c>
      <c r="Z92" s="45">
        <f>IF(AQ92="5",BJ92,0)</f>
      </c>
      <c r="AB92" s="45">
        <f>IF(AQ92="1",BH92,0)</f>
      </c>
      <c r="AC92" s="45">
        <f>IF(AQ92="1",BI92,0)</f>
      </c>
      <c r="AD92" s="45">
        <f>IF(AQ92="7",BH92,0)</f>
      </c>
      <c r="AE92" s="45">
        <f>IF(AQ92="7",BI92,0)</f>
      </c>
      <c r="AF92" s="45">
        <f>IF(AQ92="2",BH92,0)</f>
      </c>
      <c r="AG92" s="45">
        <f>IF(AQ92="2",BI92,0)</f>
      </c>
      <c r="AH92" s="45">
        <f>IF(AQ92="0",BJ92,0)</f>
      </c>
      <c r="AI92" s="28" t="s">
        <v>45</v>
      </c>
      <c r="AJ92" s="45">
        <f>IF(AN92=0,J92,0)</f>
      </c>
      <c r="AK92" s="45">
        <f>IF(AN92=12,J92,0)</f>
      </c>
      <c r="AL92" s="45">
        <f>IF(AN92=21,J92,0)</f>
      </c>
      <c r="AN92" s="45" t="n">
        <v>12</v>
      </c>
      <c r="AO92" s="45">
        <f>G92*0</f>
      </c>
      <c r="AP92" s="45">
        <f>G92*(1-0)</f>
      </c>
      <c r="AQ92" s="47" t="s">
        <v>53</v>
      </c>
      <c r="AV92" s="45">
        <f>AW92+AX92</f>
      </c>
      <c r="AW92" s="45">
        <f>F92*AO92</f>
      </c>
      <c r="AX92" s="45">
        <f>F92*AP92</f>
      </c>
      <c r="AY92" s="47" t="s">
        <v>173</v>
      </c>
      <c r="AZ92" s="47" t="s">
        <v>55</v>
      </c>
      <c r="BA92" s="28" t="s">
        <v>56</v>
      </c>
      <c r="BC92" s="45">
        <f>AW92+AX92</f>
      </c>
      <c r="BD92" s="45">
        <f>G92/(100-BE92)*100</f>
      </c>
      <c r="BE92" s="45" t="n">
        <v>0</v>
      </c>
      <c r="BF92" s="45">
        <f>92</f>
      </c>
      <c r="BH92" s="45">
        <f>F92*AO92</f>
      </c>
      <c r="BI92" s="45">
        <f>F92*AP92</f>
      </c>
      <c r="BJ92" s="45">
        <f>F92*G92</f>
      </c>
      <c r="BK92" s="45"/>
      <c r="BL92" s="45" t="n">
        <v>722</v>
      </c>
      <c r="BW92" s="45" t="n">
        <v>12</v>
      </c>
      <c r="BX92" s="14" t="s">
        <v>281</v>
      </c>
    </row>
    <row r="93">
      <c r="A93" s="9" t="s">
        <v>282</v>
      </c>
      <c r="B93" s="10" t="s">
        <v>283</v>
      </c>
      <c r="C93" s="14" t="s">
        <v>284</v>
      </c>
      <c r="D93" s="10"/>
      <c r="E93" s="10" t="s">
        <v>111</v>
      </c>
      <c r="F93" s="45" t="n">
        <v>2</v>
      </c>
      <c r="G93" s="45" t="n">
        <v>0</v>
      </c>
      <c r="H93" s="45">
        <f>F93*AO93</f>
      </c>
      <c r="I93" s="45">
        <f>F93*AP93</f>
      </c>
      <c r="J93" s="45">
        <f>F93*G93</f>
      </c>
      <c r="K93" s="46" t="s">
        <v>52</v>
      </c>
      <c r="Z93" s="45">
        <f>IF(AQ93="5",BJ93,0)</f>
      </c>
      <c r="AB93" s="45">
        <f>IF(AQ93="1",BH93,0)</f>
      </c>
      <c r="AC93" s="45">
        <f>IF(AQ93="1",BI93,0)</f>
      </c>
      <c r="AD93" s="45">
        <f>IF(AQ93="7",BH93,0)</f>
      </c>
      <c r="AE93" s="45">
        <f>IF(AQ93="7",BI93,0)</f>
      </c>
      <c r="AF93" s="45">
        <f>IF(AQ93="2",BH93,0)</f>
      </c>
      <c r="AG93" s="45">
        <f>IF(AQ93="2",BI93,0)</f>
      </c>
      <c r="AH93" s="45">
        <f>IF(AQ93="0",BJ93,0)</f>
      </c>
      <c r="AI93" s="28" t="s">
        <v>45</v>
      </c>
      <c r="AJ93" s="45">
        <f>IF(AN93=0,J93,0)</f>
      </c>
      <c r="AK93" s="45">
        <f>IF(AN93=12,J93,0)</f>
      </c>
      <c r="AL93" s="45">
        <f>IF(AN93=21,J93,0)</f>
      </c>
      <c r="AN93" s="45" t="n">
        <v>12</v>
      </c>
      <c r="AO93" s="45">
        <f>G93*0</f>
      </c>
      <c r="AP93" s="45">
        <f>G93*(1-0)</f>
      </c>
      <c r="AQ93" s="47" t="s">
        <v>53</v>
      </c>
      <c r="AV93" s="45">
        <f>AW93+AX93</f>
      </c>
      <c r="AW93" s="45">
        <f>F93*AO93</f>
      </c>
      <c r="AX93" s="45">
        <f>F93*AP93</f>
      </c>
      <c r="AY93" s="47" t="s">
        <v>173</v>
      </c>
      <c r="AZ93" s="47" t="s">
        <v>55</v>
      </c>
      <c r="BA93" s="28" t="s">
        <v>56</v>
      </c>
      <c r="BC93" s="45">
        <f>AW93+AX93</f>
      </c>
      <c r="BD93" s="45">
        <f>G93/(100-BE93)*100</f>
      </c>
      <c r="BE93" s="45" t="n">
        <v>0</v>
      </c>
      <c r="BF93" s="45">
        <f>93</f>
      </c>
      <c r="BH93" s="45">
        <f>F93*AO93</f>
      </c>
      <c r="BI93" s="45">
        <f>F93*AP93</f>
      </c>
      <c r="BJ93" s="45">
        <f>F93*G93</f>
      </c>
      <c r="BK93" s="45"/>
      <c r="BL93" s="45" t="n">
        <v>722</v>
      </c>
      <c r="BW93" s="45" t="n">
        <v>12</v>
      </c>
      <c r="BX93" s="14" t="s">
        <v>284</v>
      </c>
    </row>
    <row r="94">
      <c r="A94" s="9" t="s">
        <v>285</v>
      </c>
      <c r="B94" s="10" t="s">
        <v>286</v>
      </c>
      <c r="C94" s="14" t="s">
        <v>287</v>
      </c>
      <c r="D94" s="10"/>
      <c r="E94" s="10" t="s">
        <v>101</v>
      </c>
      <c r="F94" s="45" t="n">
        <v>86</v>
      </c>
      <c r="G94" s="45" t="n">
        <v>0</v>
      </c>
      <c r="H94" s="45">
        <f>F94*AO94</f>
      </c>
      <c r="I94" s="45">
        <f>F94*AP94</f>
      </c>
      <c r="J94" s="45">
        <f>F94*G94</f>
      </c>
      <c r="K94" s="46" t="s">
        <v>45</v>
      </c>
      <c r="Z94" s="45">
        <f>IF(AQ94="5",BJ94,0)</f>
      </c>
      <c r="AB94" s="45">
        <f>IF(AQ94="1",BH94,0)</f>
      </c>
      <c r="AC94" s="45">
        <f>IF(AQ94="1",BI94,0)</f>
      </c>
      <c r="AD94" s="45">
        <f>IF(AQ94="7",BH94,0)</f>
      </c>
      <c r="AE94" s="45">
        <f>IF(AQ94="7",BI94,0)</f>
      </c>
      <c r="AF94" s="45">
        <f>IF(AQ94="2",BH94,0)</f>
      </c>
      <c r="AG94" s="45">
        <f>IF(AQ94="2",BI94,0)</f>
      </c>
      <c r="AH94" s="45">
        <f>IF(AQ94="0",BJ94,0)</f>
      </c>
      <c r="AI94" s="28" t="s">
        <v>45</v>
      </c>
      <c r="AJ94" s="45">
        <f>IF(AN94=0,J94,0)</f>
      </c>
      <c r="AK94" s="45">
        <f>IF(AN94=12,J94,0)</f>
      </c>
      <c r="AL94" s="45">
        <f>IF(AN94=21,J94,0)</f>
      </c>
      <c r="AN94" s="45" t="n">
        <v>12</v>
      </c>
      <c r="AO94" s="45">
        <f>G94*0.83001328</f>
      </c>
      <c r="AP94" s="45">
        <f>G94*(1-0.83001328)</f>
      </c>
      <c r="AQ94" s="47" t="s">
        <v>53</v>
      </c>
      <c r="AV94" s="45">
        <f>AW94+AX94</f>
      </c>
      <c r="AW94" s="45">
        <f>F94*AO94</f>
      </c>
      <c r="AX94" s="45">
        <f>F94*AP94</f>
      </c>
      <c r="AY94" s="47" t="s">
        <v>173</v>
      </c>
      <c r="AZ94" s="47" t="s">
        <v>55</v>
      </c>
      <c r="BA94" s="28" t="s">
        <v>56</v>
      </c>
      <c r="BC94" s="45">
        <f>AW94+AX94</f>
      </c>
      <c r="BD94" s="45">
        <f>G94/(100-BE94)*100</f>
      </c>
      <c r="BE94" s="45" t="n">
        <v>0</v>
      </c>
      <c r="BF94" s="45">
        <f>94</f>
      </c>
      <c r="BH94" s="45">
        <f>F94*AO94</f>
      </c>
      <c r="BI94" s="45">
        <f>F94*AP94</f>
      </c>
      <c r="BJ94" s="45">
        <f>F94*G94</f>
      </c>
      <c r="BK94" s="45"/>
      <c r="BL94" s="45" t="n">
        <v>722</v>
      </c>
      <c r="BW94" s="45" t="n">
        <v>12</v>
      </c>
      <c r="BX94" s="14" t="s">
        <v>287</v>
      </c>
    </row>
    <row r="95" customHeight="true" ht="13.5">
      <c r="A95" s="48"/>
      <c r="B95" s="49" t="s">
        <v>119</v>
      </c>
      <c r="C95" s="50" t="s">
        <v>288</v>
      </c>
      <c r="D95" s="51"/>
      <c r="E95" s="51"/>
      <c r="F95" s="51"/>
      <c r="G95" s="51"/>
      <c r="H95" s="51"/>
      <c r="I95" s="51"/>
      <c r="J95" s="51"/>
      <c r="K95" s="52"/>
    </row>
    <row r="96">
      <c r="A96" s="9" t="s">
        <v>289</v>
      </c>
      <c r="B96" s="10" t="s">
        <v>290</v>
      </c>
      <c r="C96" s="14" t="s">
        <v>291</v>
      </c>
      <c r="D96" s="10"/>
      <c r="E96" s="10" t="s">
        <v>124</v>
      </c>
      <c r="F96" s="45" t="n">
        <v>83</v>
      </c>
      <c r="G96" s="45" t="n">
        <v>0</v>
      </c>
      <c r="H96" s="45">
        <f>F96*AO96</f>
      </c>
      <c r="I96" s="45">
        <f>F96*AP96</f>
      </c>
      <c r="J96" s="45">
        <f>F96*G96</f>
      </c>
      <c r="K96" s="46" t="s">
        <v>45</v>
      </c>
      <c r="Z96" s="45">
        <f>IF(AQ96="5",BJ96,0)</f>
      </c>
      <c r="AB96" s="45">
        <f>IF(AQ96="1",BH96,0)</f>
      </c>
      <c r="AC96" s="45">
        <f>IF(AQ96="1",BI96,0)</f>
      </c>
      <c r="AD96" s="45">
        <f>IF(AQ96="7",BH96,0)</f>
      </c>
      <c r="AE96" s="45">
        <f>IF(AQ96="7",BI96,0)</f>
      </c>
      <c r="AF96" s="45">
        <f>IF(AQ96="2",BH96,0)</f>
      </c>
      <c r="AG96" s="45">
        <f>IF(AQ96="2",BI96,0)</f>
      </c>
      <c r="AH96" s="45">
        <f>IF(AQ96="0",BJ96,0)</f>
      </c>
      <c r="AI96" s="28" t="s">
        <v>45</v>
      </c>
      <c r="AJ96" s="45">
        <f>IF(AN96=0,J96,0)</f>
      </c>
      <c r="AK96" s="45">
        <f>IF(AN96=12,J96,0)</f>
      </c>
      <c r="AL96" s="45">
        <f>IF(AN96=21,J96,0)</f>
      </c>
      <c r="AN96" s="45" t="n">
        <v>12</v>
      </c>
      <c r="AO96" s="45">
        <f>G96*0.74826561</f>
      </c>
      <c r="AP96" s="45">
        <f>G96*(1-0.74826561)</f>
      </c>
      <c r="AQ96" s="47" t="s">
        <v>53</v>
      </c>
      <c r="AV96" s="45">
        <f>AW96+AX96</f>
      </c>
      <c r="AW96" s="45">
        <f>F96*AO96</f>
      </c>
      <c r="AX96" s="45">
        <f>F96*AP96</f>
      </c>
      <c r="AY96" s="47" t="s">
        <v>173</v>
      </c>
      <c r="AZ96" s="47" t="s">
        <v>55</v>
      </c>
      <c r="BA96" s="28" t="s">
        <v>56</v>
      </c>
      <c r="BC96" s="45">
        <f>AW96+AX96</f>
      </c>
      <c r="BD96" s="45">
        <f>G96/(100-BE96)*100</f>
      </c>
      <c r="BE96" s="45" t="n">
        <v>0</v>
      </c>
      <c r="BF96" s="45">
        <f>96</f>
      </c>
      <c r="BH96" s="45">
        <f>F96*AO96</f>
      </c>
      <c r="BI96" s="45">
        <f>F96*AP96</f>
      </c>
      <c r="BJ96" s="45">
        <f>F96*G96</f>
      </c>
      <c r="BK96" s="45"/>
      <c r="BL96" s="45" t="n">
        <v>722</v>
      </c>
      <c r="BW96" s="45" t="n">
        <v>12</v>
      </c>
      <c r="BX96" s="14" t="s">
        <v>291</v>
      </c>
    </row>
    <row r="97" customHeight="true" ht="13.5">
      <c r="A97" s="48"/>
      <c r="B97" s="49" t="s">
        <v>119</v>
      </c>
      <c r="C97" s="50" t="s">
        <v>157</v>
      </c>
      <c r="D97" s="51"/>
      <c r="E97" s="51"/>
      <c r="F97" s="51"/>
      <c r="G97" s="51"/>
      <c r="H97" s="51"/>
      <c r="I97" s="51"/>
      <c r="J97" s="51"/>
      <c r="K97" s="52"/>
    </row>
    <row r="98">
      <c r="A98" s="9" t="s">
        <v>292</v>
      </c>
      <c r="B98" s="10" t="s">
        <v>293</v>
      </c>
      <c r="C98" s="14" t="s">
        <v>294</v>
      </c>
      <c r="D98" s="10"/>
      <c r="E98" s="10" t="s">
        <v>51</v>
      </c>
      <c r="F98" s="45" t="n">
        <v>291</v>
      </c>
      <c r="G98" s="45" t="n">
        <v>0</v>
      </c>
      <c r="H98" s="45">
        <f>F98*AO98</f>
      </c>
      <c r="I98" s="45">
        <f>F98*AP98</f>
      </c>
      <c r="J98" s="45">
        <f>F98*G98</f>
      </c>
      <c r="K98" s="46" t="s">
        <v>52</v>
      </c>
      <c r="Z98" s="45">
        <f>IF(AQ98="5",BJ98,0)</f>
      </c>
      <c r="AB98" s="45">
        <f>IF(AQ98="1",BH98,0)</f>
      </c>
      <c r="AC98" s="45">
        <f>IF(AQ98="1",BI98,0)</f>
      </c>
      <c r="AD98" s="45">
        <f>IF(AQ98="7",BH98,0)</f>
      </c>
      <c r="AE98" s="45">
        <f>IF(AQ98="7",BI98,0)</f>
      </c>
      <c r="AF98" s="45">
        <f>IF(AQ98="2",BH98,0)</f>
      </c>
      <c r="AG98" s="45">
        <f>IF(AQ98="2",BI98,0)</f>
      </c>
      <c r="AH98" s="45">
        <f>IF(AQ98="0",BJ98,0)</f>
      </c>
      <c r="AI98" s="28" t="s">
        <v>45</v>
      </c>
      <c r="AJ98" s="45">
        <f>IF(AN98=0,J98,0)</f>
      </c>
      <c r="AK98" s="45">
        <f>IF(AN98=12,J98,0)</f>
      </c>
      <c r="AL98" s="45">
        <f>IF(AN98=21,J98,0)</f>
      </c>
      <c r="AN98" s="45" t="n">
        <v>12</v>
      </c>
      <c r="AO98" s="45">
        <f>G98*0</f>
      </c>
      <c r="AP98" s="45">
        <f>G98*(1-0)</f>
      </c>
      <c r="AQ98" s="47" t="s">
        <v>53</v>
      </c>
      <c r="AV98" s="45">
        <f>AW98+AX98</f>
      </c>
      <c r="AW98" s="45">
        <f>F98*AO98</f>
      </c>
      <c r="AX98" s="45">
        <f>F98*AP98</f>
      </c>
      <c r="AY98" s="47" t="s">
        <v>173</v>
      </c>
      <c r="AZ98" s="47" t="s">
        <v>55</v>
      </c>
      <c r="BA98" s="28" t="s">
        <v>56</v>
      </c>
      <c r="BC98" s="45">
        <f>AW98+AX98</f>
      </c>
      <c r="BD98" s="45">
        <f>G98/(100-BE98)*100</f>
      </c>
      <c r="BE98" s="45" t="n">
        <v>0</v>
      </c>
      <c r="BF98" s="45">
        <f>98</f>
      </c>
      <c r="BH98" s="45">
        <f>F98*AO98</f>
      </c>
      <c r="BI98" s="45">
        <f>F98*AP98</f>
      </c>
      <c r="BJ98" s="45">
        <f>F98*G98</f>
      </c>
      <c r="BK98" s="45"/>
      <c r="BL98" s="45" t="n">
        <v>722</v>
      </c>
      <c r="BW98" s="45" t="n">
        <v>12</v>
      </c>
      <c r="BX98" s="14" t="s">
        <v>294</v>
      </c>
    </row>
    <row r="99">
      <c r="A99" s="9" t="s">
        <v>295</v>
      </c>
      <c r="B99" s="10" t="s">
        <v>296</v>
      </c>
      <c r="C99" s="14" t="s">
        <v>297</v>
      </c>
      <c r="D99" s="10"/>
      <c r="E99" s="10" t="s">
        <v>51</v>
      </c>
      <c r="F99" s="45" t="n">
        <v>162</v>
      </c>
      <c r="G99" s="45" t="n">
        <v>0</v>
      </c>
      <c r="H99" s="45">
        <f>F99*AO99</f>
      </c>
      <c r="I99" s="45">
        <f>F99*AP99</f>
      </c>
      <c r="J99" s="45">
        <f>F99*G99</f>
      </c>
      <c r="K99" s="46" t="s">
        <v>52</v>
      </c>
      <c r="Z99" s="45">
        <f>IF(AQ99="5",BJ99,0)</f>
      </c>
      <c r="AB99" s="45">
        <f>IF(AQ99="1",BH99,0)</f>
      </c>
      <c r="AC99" s="45">
        <f>IF(AQ99="1",BI99,0)</f>
      </c>
      <c r="AD99" s="45">
        <f>IF(AQ99="7",BH99,0)</f>
      </c>
      <c r="AE99" s="45">
        <f>IF(AQ99="7",BI99,0)</f>
      </c>
      <c r="AF99" s="45">
        <f>IF(AQ99="2",BH99,0)</f>
      </c>
      <c r="AG99" s="45">
        <f>IF(AQ99="2",BI99,0)</f>
      </c>
      <c r="AH99" s="45">
        <f>IF(AQ99="0",BJ99,0)</f>
      </c>
      <c r="AI99" s="28" t="s">
        <v>45</v>
      </c>
      <c r="AJ99" s="45">
        <f>IF(AN99=0,J99,0)</f>
      </c>
      <c r="AK99" s="45">
        <f>IF(AN99=12,J99,0)</f>
      </c>
      <c r="AL99" s="45">
        <f>IF(AN99=21,J99,0)</f>
      </c>
      <c r="AN99" s="45" t="n">
        <v>12</v>
      </c>
      <c r="AO99" s="45">
        <f>G99*0</f>
      </c>
      <c r="AP99" s="45">
        <f>G99*(1-0)</f>
      </c>
      <c r="AQ99" s="47" t="s">
        <v>53</v>
      </c>
      <c r="AV99" s="45">
        <f>AW99+AX99</f>
      </c>
      <c r="AW99" s="45">
        <f>F99*AO99</f>
      </c>
      <c r="AX99" s="45">
        <f>F99*AP99</f>
      </c>
      <c r="AY99" s="47" t="s">
        <v>173</v>
      </c>
      <c r="AZ99" s="47" t="s">
        <v>55</v>
      </c>
      <c r="BA99" s="28" t="s">
        <v>56</v>
      </c>
      <c r="BC99" s="45">
        <f>AW99+AX99</f>
      </c>
      <c r="BD99" s="45">
        <f>G99/(100-BE99)*100</f>
      </c>
      <c r="BE99" s="45" t="n">
        <v>0</v>
      </c>
      <c r="BF99" s="45">
        <f>99</f>
      </c>
      <c r="BH99" s="45">
        <f>F99*AO99</f>
      </c>
      <c r="BI99" s="45">
        <f>F99*AP99</f>
      </c>
      <c r="BJ99" s="45">
        <f>F99*G99</f>
      </c>
      <c r="BK99" s="45"/>
      <c r="BL99" s="45" t="n">
        <v>722</v>
      </c>
      <c r="BW99" s="45" t="n">
        <v>12</v>
      </c>
      <c r="BX99" s="14" t="s">
        <v>297</v>
      </c>
    </row>
    <row r="100">
      <c r="A100" s="9" t="s">
        <v>298</v>
      </c>
      <c r="B100" s="10" t="s">
        <v>299</v>
      </c>
      <c r="C100" s="14" t="s">
        <v>300</v>
      </c>
      <c r="D100" s="10"/>
      <c r="E100" s="10" t="s">
        <v>51</v>
      </c>
      <c r="F100" s="45" t="n">
        <v>16</v>
      </c>
      <c r="G100" s="45" t="n">
        <v>0</v>
      </c>
      <c r="H100" s="45">
        <f>F100*AO100</f>
      </c>
      <c r="I100" s="45">
        <f>F100*AP100</f>
      </c>
      <c r="J100" s="45">
        <f>F100*G100</f>
      </c>
      <c r="K100" s="46" t="s">
        <v>52</v>
      </c>
      <c r="Z100" s="45">
        <f>IF(AQ100="5",BJ100,0)</f>
      </c>
      <c r="AB100" s="45">
        <f>IF(AQ100="1",BH100,0)</f>
      </c>
      <c r="AC100" s="45">
        <f>IF(AQ100="1",BI100,0)</f>
      </c>
      <c r="AD100" s="45">
        <f>IF(AQ100="7",BH100,0)</f>
      </c>
      <c r="AE100" s="45">
        <f>IF(AQ100="7",BI100,0)</f>
      </c>
      <c r="AF100" s="45">
        <f>IF(AQ100="2",BH100,0)</f>
      </c>
      <c r="AG100" s="45">
        <f>IF(AQ100="2",BI100,0)</f>
      </c>
      <c r="AH100" s="45">
        <f>IF(AQ100="0",BJ100,0)</f>
      </c>
      <c r="AI100" s="28" t="s">
        <v>45</v>
      </c>
      <c r="AJ100" s="45">
        <f>IF(AN100=0,J100,0)</f>
      </c>
      <c r="AK100" s="45">
        <f>IF(AN100=12,J100,0)</f>
      </c>
      <c r="AL100" s="45">
        <f>IF(AN100=21,J100,0)</f>
      </c>
      <c r="AN100" s="45" t="n">
        <v>12</v>
      </c>
      <c r="AO100" s="45">
        <f>G100*0</f>
      </c>
      <c r="AP100" s="45">
        <f>G100*(1-0)</f>
      </c>
      <c r="AQ100" s="47" t="s">
        <v>53</v>
      </c>
      <c r="AV100" s="45">
        <f>AW100+AX100</f>
      </c>
      <c r="AW100" s="45">
        <f>F100*AO100</f>
      </c>
      <c r="AX100" s="45">
        <f>F100*AP100</f>
      </c>
      <c r="AY100" s="47" t="s">
        <v>173</v>
      </c>
      <c r="AZ100" s="47" t="s">
        <v>55</v>
      </c>
      <c r="BA100" s="28" t="s">
        <v>56</v>
      </c>
      <c r="BC100" s="45">
        <f>AW100+AX100</f>
      </c>
      <c r="BD100" s="45">
        <f>G100/(100-BE100)*100</f>
      </c>
      <c r="BE100" s="45" t="n">
        <v>0</v>
      </c>
      <c r="BF100" s="45">
        <f>100</f>
      </c>
      <c r="BH100" s="45">
        <f>F100*AO100</f>
      </c>
      <c r="BI100" s="45">
        <f>F100*AP100</f>
      </c>
      <c r="BJ100" s="45">
        <f>F100*G100</f>
      </c>
      <c r="BK100" s="45"/>
      <c r="BL100" s="45" t="n">
        <v>722</v>
      </c>
      <c r="BW100" s="45" t="n">
        <v>12</v>
      </c>
      <c r="BX100" s="14" t="s">
        <v>300</v>
      </c>
    </row>
    <row r="101">
      <c r="A101" s="9" t="s">
        <v>301</v>
      </c>
      <c r="B101" s="10" t="s">
        <v>302</v>
      </c>
      <c r="C101" s="14" t="s">
        <v>303</v>
      </c>
      <c r="D101" s="10"/>
      <c r="E101" s="10" t="s">
        <v>51</v>
      </c>
      <c r="F101" s="45" t="n">
        <v>10</v>
      </c>
      <c r="G101" s="45" t="n">
        <v>0</v>
      </c>
      <c r="H101" s="45">
        <f>F101*AO101</f>
      </c>
      <c r="I101" s="45">
        <f>F101*AP101</f>
      </c>
      <c r="J101" s="45">
        <f>F101*G101</f>
      </c>
      <c r="K101" s="46" t="s">
        <v>52</v>
      </c>
      <c r="Z101" s="45">
        <f>IF(AQ101="5",BJ101,0)</f>
      </c>
      <c r="AB101" s="45">
        <f>IF(AQ101="1",BH101,0)</f>
      </c>
      <c r="AC101" s="45">
        <f>IF(AQ101="1",BI101,0)</f>
      </c>
      <c r="AD101" s="45">
        <f>IF(AQ101="7",BH101,0)</f>
      </c>
      <c r="AE101" s="45">
        <f>IF(AQ101="7",BI101,0)</f>
      </c>
      <c r="AF101" s="45">
        <f>IF(AQ101="2",BH101,0)</f>
      </c>
      <c r="AG101" s="45">
        <f>IF(AQ101="2",BI101,0)</f>
      </c>
      <c r="AH101" s="45">
        <f>IF(AQ101="0",BJ101,0)</f>
      </c>
      <c r="AI101" s="28" t="s">
        <v>45</v>
      </c>
      <c r="AJ101" s="45">
        <f>IF(AN101=0,J101,0)</f>
      </c>
      <c r="AK101" s="45">
        <f>IF(AN101=12,J101,0)</f>
      </c>
      <c r="AL101" s="45">
        <f>IF(AN101=21,J101,0)</f>
      </c>
      <c r="AN101" s="45" t="n">
        <v>12</v>
      </c>
      <c r="AO101" s="45">
        <f>G101*0</f>
      </c>
      <c r="AP101" s="45">
        <f>G101*(1-0)</f>
      </c>
      <c r="AQ101" s="47" t="s">
        <v>53</v>
      </c>
      <c r="AV101" s="45">
        <f>AW101+AX101</f>
      </c>
      <c r="AW101" s="45">
        <f>F101*AO101</f>
      </c>
      <c r="AX101" s="45">
        <f>F101*AP101</f>
      </c>
      <c r="AY101" s="47" t="s">
        <v>173</v>
      </c>
      <c r="AZ101" s="47" t="s">
        <v>55</v>
      </c>
      <c r="BA101" s="28" t="s">
        <v>56</v>
      </c>
      <c r="BC101" s="45">
        <f>AW101+AX101</f>
      </c>
      <c r="BD101" s="45">
        <f>G101/(100-BE101)*100</f>
      </c>
      <c r="BE101" s="45" t="n">
        <v>0</v>
      </c>
      <c r="BF101" s="45">
        <f>101</f>
      </c>
      <c r="BH101" s="45">
        <f>F101*AO101</f>
      </c>
      <c r="BI101" s="45">
        <f>F101*AP101</f>
      </c>
      <c r="BJ101" s="45">
        <f>F101*G101</f>
      </c>
      <c r="BK101" s="45"/>
      <c r="BL101" s="45" t="n">
        <v>722</v>
      </c>
      <c r="BW101" s="45" t="n">
        <v>12</v>
      </c>
      <c r="BX101" s="14" t="s">
        <v>303</v>
      </c>
    </row>
    <row r="102" ht="24.75">
      <c r="A102" s="9" t="s">
        <v>304</v>
      </c>
      <c r="B102" s="10" t="s">
        <v>159</v>
      </c>
      <c r="C102" s="14" t="s">
        <v>160</v>
      </c>
      <c r="D102" s="10"/>
      <c r="E102" s="10" t="s">
        <v>124</v>
      </c>
      <c r="F102" s="45" t="n">
        <v>83</v>
      </c>
      <c r="G102" s="45" t="n">
        <v>0</v>
      </c>
      <c r="H102" s="45">
        <f>F102*AO102</f>
      </c>
      <c r="I102" s="45">
        <f>F102*AP102</f>
      </c>
      <c r="J102" s="45">
        <f>F102*G102</f>
      </c>
      <c r="K102" s="46" t="s">
        <v>115</v>
      </c>
      <c r="Z102" s="45">
        <f>IF(AQ102="5",BJ102,0)</f>
      </c>
      <c r="AB102" s="45">
        <f>IF(AQ102="1",BH102,0)</f>
      </c>
      <c r="AC102" s="45">
        <f>IF(AQ102="1",BI102,0)</f>
      </c>
      <c r="AD102" s="45">
        <f>IF(AQ102="7",BH102,0)</f>
      </c>
      <c r="AE102" s="45">
        <f>IF(AQ102="7",BI102,0)</f>
      </c>
      <c r="AF102" s="45">
        <f>IF(AQ102="2",BH102,0)</f>
      </c>
      <c r="AG102" s="45">
        <f>IF(AQ102="2",BI102,0)</f>
      </c>
      <c r="AH102" s="45">
        <f>IF(AQ102="0",BJ102,0)</f>
      </c>
      <c r="AI102" s="28" t="s">
        <v>45</v>
      </c>
      <c r="AJ102" s="45">
        <f>IF(AN102=0,J102,0)</f>
      </c>
      <c r="AK102" s="45">
        <f>IF(AN102=12,J102,0)</f>
      </c>
      <c r="AL102" s="45">
        <f>IF(AN102=21,J102,0)</f>
      </c>
      <c r="AN102" s="45" t="n">
        <v>12</v>
      </c>
      <c r="AO102" s="45">
        <f>G102*0</f>
      </c>
      <c r="AP102" s="45">
        <f>G102*(1-0)</f>
      </c>
      <c r="AQ102" s="47" t="s">
        <v>53</v>
      </c>
      <c r="AV102" s="45">
        <f>AW102+AX102</f>
      </c>
      <c r="AW102" s="45">
        <f>F102*AO102</f>
      </c>
      <c r="AX102" s="45">
        <f>F102*AP102</f>
      </c>
      <c r="AY102" s="47" t="s">
        <v>173</v>
      </c>
      <c r="AZ102" s="47" t="s">
        <v>55</v>
      </c>
      <c r="BA102" s="28" t="s">
        <v>56</v>
      </c>
      <c r="BC102" s="45">
        <f>AW102+AX102</f>
      </c>
      <c r="BD102" s="45">
        <f>G102/(100-BE102)*100</f>
      </c>
      <c r="BE102" s="45" t="n">
        <v>0</v>
      </c>
      <c r="BF102" s="45">
        <f>102</f>
      </c>
      <c r="BH102" s="45">
        <f>F102*AO102</f>
      </c>
      <c r="BI102" s="45">
        <f>F102*AP102</f>
      </c>
      <c r="BJ102" s="45">
        <f>F102*G102</f>
      </c>
      <c r="BK102" s="45"/>
      <c r="BL102" s="45" t="n">
        <v>722</v>
      </c>
      <c r="BW102" s="45" t="n">
        <v>12</v>
      </c>
      <c r="BX102" s="14" t="s">
        <v>160</v>
      </c>
    </row>
    <row r="103">
      <c r="A103" s="9" t="s">
        <v>305</v>
      </c>
      <c r="B103" s="10" t="s">
        <v>306</v>
      </c>
      <c r="C103" s="14" t="s">
        <v>307</v>
      </c>
      <c r="D103" s="10"/>
      <c r="E103" s="10" t="s">
        <v>51</v>
      </c>
      <c r="F103" s="45" t="n">
        <v>807</v>
      </c>
      <c r="G103" s="45" t="n">
        <v>0</v>
      </c>
      <c r="H103" s="45">
        <f>F103*AO103</f>
      </c>
      <c r="I103" s="45">
        <f>F103*AP103</f>
      </c>
      <c r="J103" s="45">
        <f>F103*G103</f>
      </c>
      <c r="K103" s="46" t="s">
        <v>52</v>
      </c>
      <c r="Z103" s="45">
        <f>IF(AQ103="5",BJ103,0)</f>
      </c>
      <c r="AB103" s="45">
        <f>IF(AQ103="1",BH103,0)</f>
      </c>
      <c r="AC103" s="45">
        <f>IF(AQ103="1",BI103,0)</f>
      </c>
      <c r="AD103" s="45">
        <f>IF(AQ103="7",BH103,0)</f>
      </c>
      <c r="AE103" s="45">
        <f>IF(AQ103="7",BI103,0)</f>
      </c>
      <c r="AF103" s="45">
        <f>IF(AQ103="2",BH103,0)</f>
      </c>
      <c r="AG103" s="45">
        <f>IF(AQ103="2",BI103,0)</f>
      </c>
      <c r="AH103" s="45">
        <f>IF(AQ103="0",BJ103,0)</f>
      </c>
      <c r="AI103" s="28" t="s">
        <v>45</v>
      </c>
      <c r="AJ103" s="45">
        <f>IF(AN103=0,J103,0)</f>
      </c>
      <c r="AK103" s="45">
        <f>IF(AN103=12,J103,0)</f>
      </c>
      <c r="AL103" s="45">
        <f>IF(AN103=21,J103,0)</f>
      </c>
      <c r="AN103" s="45" t="n">
        <v>12</v>
      </c>
      <c r="AO103" s="45">
        <f>G103*0.054324324</f>
      </c>
      <c r="AP103" s="45">
        <f>G103*(1-0.054324324)</f>
      </c>
      <c r="AQ103" s="47" t="s">
        <v>53</v>
      </c>
      <c r="AV103" s="45">
        <f>AW103+AX103</f>
      </c>
      <c r="AW103" s="45">
        <f>F103*AO103</f>
      </c>
      <c r="AX103" s="45">
        <f>F103*AP103</f>
      </c>
      <c r="AY103" s="47" t="s">
        <v>173</v>
      </c>
      <c r="AZ103" s="47" t="s">
        <v>55</v>
      </c>
      <c r="BA103" s="28" t="s">
        <v>56</v>
      </c>
      <c r="BC103" s="45">
        <f>AW103+AX103</f>
      </c>
      <c r="BD103" s="45">
        <f>G103/(100-BE103)*100</f>
      </c>
      <c r="BE103" s="45" t="n">
        <v>0</v>
      </c>
      <c r="BF103" s="45">
        <f>103</f>
      </c>
      <c r="BH103" s="45">
        <f>F103*AO103</f>
      </c>
      <c r="BI103" s="45">
        <f>F103*AP103</f>
      </c>
      <c r="BJ103" s="45">
        <f>F103*G103</f>
      </c>
      <c r="BK103" s="45"/>
      <c r="BL103" s="45" t="n">
        <v>722</v>
      </c>
      <c r="BW103" s="45" t="n">
        <v>12</v>
      </c>
      <c r="BX103" s="14" t="s">
        <v>307</v>
      </c>
    </row>
    <row r="104">
      <c r="A104" s="9" t="s">
        <v>308</v>
      </c>
      <c r="B104" s="10" t="s">
        <v>309</v>
      </c>
      <c r="C104" s="14" t="s">
        <v>310</v>
      </c>
      <c r="D104" s="10"/>
      <c r="E104" s="10" t="s">
        <v>51</v>
      </c>
      <c r="F104" s="45" t="n">
        <v>807</v>
      </c>
      <c r="G104" s="45" t="n">
        <v>0</v>
      </c>
      <c r="H104" s="45">
        <f>F104*AO104</f>
      </c>
      <c r="I104" s="45">
        <f>F104*AP104</f>
      </c>
      <c r="J104" s="45">
        <f>F104*G104</f>
      </c>
      <c r="K104" s="46" t="s">
        <v>52</v>
      </c>
      <c r="Z104" s="45">
        <f>IF(AQ104="5",BJ104,0)</f>
      </c>
      <c r="AB104" s="45">
        <f>IF(AQ104="1",BH104,0)</f>
      </c>
      <c r="AC104" s="45">
        <f>IF(AQ104="1",BI104,0)</f>
      </c>
      <c r="AD104" s="45">
        <f>IF(AQ104="7",BH104,0)</f>
      </c>
      <c r="AE104" s="45">
        <f>IF(AQ104="7",BI104,0)</f>
      </c>
      <c r="AF104" s="45">
        <f>IF(AQ104="2",BH104,0)</f>
      </c>
      <c r="AG104" s="45">
        <f>IF(AQ104="2",BI104,0)</f>
      </c>
      <c r="AH104" s="45">
        <f>IF(AQ104="0",BJ104,0)</f>
      </c>
      <c r="AI104" s="28" t="s">
        <v>45</v>
      </c>
      <c r="AJ104" s="45">
        <f>IF(AN104=0,J104,0)</f>
      </c>
      <c r="AK104" s="45">
        <f>IF(AN104=12,J104,0)</f>
      </c>
      <c r="AL104" s="45">
        <f>IF(AN104=21,J104,0)</f>
      </c>
      <c r="AN104" s="45" t="n">
        <v>12</v>
      </c>
      <c r="AO104" s="45">
        <f>G104*0.018971061</f>
      </c>
      <c r="AP104" s="45">
        <f>G104*(1-0.018971061)</f>
      </c>
      <c r="AQ104" s="47" t="s">
        <v>53</v>
      </c>
      <c r="AV104" s="45">
        <f>AW104+AX104</f>
      </c>
      <c r="AW104" s="45">
        <f>F104*AO104</f>
      </c>
      <c r="AX104" s="45">
        <f>F104*AP104</f>
      </c>
      <c r="AY104" s="47" t="s">
        <v>173</v>
      </c>
      <c r="AZ104" s="47" t="s">
        <v>55</v>
      </c>
      <c r="BA104" s="28" t="s">
        <v>56</v>
      </c>
      <c r="BC104" s="45">
        <f>AW104+AX104</f>
      </c>
      <c r="BD104" s="45">
        <f>G104/(100-BE104)*100</f>
      </c>
      <c r="BE104" s="45" t="n">
        <v>0</v>
      </c>
      <c r="BF104" s="45">
        <f>104</f>
      </c>
      <c r="BH104" s="45">
        <f>F104*AO104</f>
      </c>
      <c r="BI104" s="45">
        <f>F104*AP104</f>
      </c>
      <c r="BJ104" s="45">
        <f>F104*G104</f>
      </c>
      <c r="BK104" s="45"/>
      <c r="BL104" s="45" t="n">
        <v>722</v>
      </c>
      <c r="BW104" s="45" t="n">
        <v>12</v>
      </c>
      <c r="BX104" s="14" t="s">
        <v>310</v>
      </c>
    </row>
    <row r="105">
      <c r="A105" s="9" t="s">
        <v>311</v>
      </c>
      <c r="B105" s="10" t="s">
        <v>312</v>
      </c>
      <c r="C105" s="14" t="s">
        <v>313</v>
      </c>
      <c r="D105" s="10"/>
      <c r="E105" s="10" t="s">
        <v>167</v>
      </c>
      <c r="F105" s="45" t="n">
        <v>2.5282</v>
      </c>
      <c r="G105" s="45" t="n">
        <v>0</v>
      </c>
      <c r="H105" s="45">
        <f>F105*AO105</f>
      </c>
      <c r="I105" s="45">
        <f>F105*AP105</f>
      </c>
      <c r="J105" s="45">
        <f>F105*G105</f>
      </c>
      <c r="K105" s="46" t="s">
        <v>52</v>
      </c>
      <c r="Z105" s="45">
        <f>IF(AQ105="5",BJ105,0)</f>
      </c>
      <c r="AB105" s="45">
        <f>IF(AQ105="1",BH105,0)</f>
      </c>
      <c r="AC105" s="45">
        <f>IF(AQ105="1",BI105,0)</f>
      </c>
      <c r="AD105" s="45">
        <f>IF(AQ105="7",BH105,0)</f>
      </c>
      <c r="AE105" s="45">
        <f>IF(AQ105="7",BI105,0)</f>
      </c>
      <c r="AF105" s="45">
        <f>IF(AQ105="2",BH105,0)</f>
      </c>
      <c r="AG105" s="45">
        <f>IF(AQ105="2",BI105,0)</f>
      </c>
      <c r="AH105" s="45">
        <f>IF(AQ105="0",BJ105,0)</f>
      </c>
      <c r="AI105" s="28" t="s">
        <v>45</v>
      </c>
      <c r="AJ105" s="45">
        <f>IF(AN105=0,J105,0)</f>
      </c>
      <c r="AK105" s="45">
        <f>IF(AN105=12,J105,0)</f>
      </c>
      <c r="AL105" s="45">
        <f>IF(AN105=21,J105,0)</f>
      </c>
      <c r="AN105" s="45" t="n">
        <v>12</v>
      </c>
      <c r="AO105" s="45">
        <f>G105*0</f>
      </c>
      <c r="AP105" s="45">
        <f>G105*(1-0)</f>
      </c>
      <c r="AQ105" s="47" t="s">
        <v>66</v>
      </c>
      <c r="AV105" s="45">
        <f>AW105+AX105</f>
      </c>
      <c r="AW105" s="45">
        <f>F105*AO105</f>
      </c>
      <c r="AX105" s="45">
        <f>F105*AP105</f>
      </c>
      <c r="AY105" s="47" t="s">
        <v>173</v>
      </c>
      <c r="AZ105" s="47" t="s">
        <v>55</v>
      </c>
      <c r="BA105" s="28" t="s">
        <v>56</v>
      </c>
      <c r="BC105" s="45">
        <f>AW105+AX105</f>
      </c>
      <c r="BD105" s="45">
        <f>G105/(100-BE105)*100</f>
      </c>
      <c r="BE105" s="45" t="n">
        <v>0</v>
      </c>
      <c r="BF105" s="45">
        <f>105</f>
      </c>
      <c r="BH105" s="45">
        <f>F105*AO105</f>
      </c>
      <c r="BI105" s="45">
        <f>F105*AP105</f>
      </c>
      <c r="BJ105" s="45">
        <f>F105*G105</f>
      </c>
      <c r="BK105" s="45"/>
      <c r="BL105" s="45" t="n">
        <v>722</v>
      </c>
      <c r="BW105" s="45" t="n">
        <v>12</v>
      </c>
      <c r="BX105" s="14" t="s">
        <v>313</v>
      </c>
    </row>
    <row r="106">
      <c r="A106" s="53" t="s">
        <v>45</v>
      </c>
      <c r="B106" s="54" t="s">
        <v>314</v>
      </c>
      <c r="C106" s="55" t="s">
        <v>315</v>
      </c>
      <c r="D106" s="54"/>
      <c r="E106" s="56" t="s">
        <v>2</v>
      </c>
      <c r="F106" s="56" t="s">
        <v>2</v>
      </c>
      <c r="G106" s="56" t="s">
        <v>2</v>
      </c>
      <c r="H106" s="2">
        <f>SUM(H107:H170)</f>
      </c>
      <c r="I106" s="2">
        <f>SUM(I107:I170)</f>
      </c>
      <c r="J106" s="2">
        <f>SUM(J107:J170)</f>
      </c>
      <c r="K106" s="57" t="s">
        <v>45</v>
      </c>
      <c r="AI106" s="28" t="s">
        <v>45</v>
      </c>
      <c r="AS106" s="2">
        <f>SUM(AJ107:AJ170)</f>
      </c>
      <c r="AT106" s="2">
        <f>SUM(AK107:AK170)</f>
      </c>
      <c r="AU106" s="2">
        <f>SUM(AL107:AL170)</f>
      </c>
    </row>
    <row r="107">
      <c r="A107" s="9" t="s">
        <v>316</v>
      </c>
      <c r="B107" s="10" t="s">
        <v>317</v>
      </c>
      <c r="C107" s="14" t="s">
        <v>318</v>
      </c>
      <c r="D107" s="10"/>
      <c r="E107" s="10" t="s">
        <v>319</v>
      </c>
      <c r="F107" s="45" t="n">
        <v>4</v>
      </c>
      <c r="G107" s="45" t="n">
        <v>0</v>
      </c>
      <c r="H107" s="45">
        <f>F107*AO107</f>
      </c>
      <c r="I107" s="45">
        <f>F107*AP107</f>
      </c>
      <c r="J107" s="45">
        <f>F107*G107</f>
      </c>
      <c r="K107" s="46" t="s">
        <v>52</v>
      </c>
      <c r="Z107" s="45">
        <f>IF(AQ107="5",BJ107,0)</f>
      </c>
      <c r="AB107" s="45">
        <f>IF(AQ107="1",BH107,0)</f>
      </c>
      <c r="AC107" s="45">
        <f>IF(AQ107="1",BI107,0)</f>
      </c>
      <c r="AD107" s="45">
        <f>IF(AQ107="7",BH107,0)</f>
      </c>
      <c r="AE107" s="45">
        <f>IF(AQ107="7",BI107,0)</f>
      </c>
      <c r="AF107" s="45">
        <f>IF(AQ107="2",BH107,0)</f>
      </c>
      <c r="AG107" s="45">
        <f>IF(AQ107="2",BI107,0)</f>
      </c>
      <c r="AH107" s="45">
        <f>IF(AQ107="0",BJ107,0)</f>
      </c>
      <c r="AI107" s="28" t="s">
        <v>45</v>
      </c>
      <c r="AJ107" s="45">
        <f>IF(AN107=0,J107,0)</f>
      </c>
      <c r="AK107" s="45">
        <f>IF(AN107=12,J107,0)</f>
      </c>
      <c r="AL107" s="45">
        <f>IF(AN107=21,J107,0)</f>
      </c>
      <c r="AN107" s="45" t="n">
        <v>12</v>
      </c>
      <c r="AO107" s="45">
        <f>G107*0.893443447</f>
      </c>
      <c r="AP107" s="45">
        <f>G107*(1-0.893443447)</f>
      </c>
      <c r="AQ107" s="47" t="s">
        <v>53</v>
      </c>
      <c r="AV107" s="45">
        <f>AW107+AX107</f>
      </c>
      <c r="AW107" s="45">
        <f>F107*AO107</f>
      </c>
      <c r="AX107" s="45">
        <f>F107*AP107</f>
      </c>
      <c r="AY107" s="47" t="s">
        <v>320</v>
      </c>
      <c r="AZ107" s="47" t="s">
        <v>55</v>
      </c>
      <c r="BA107" s="28" t="s">
        <v>56</v>
      </c>
      <c r="BC107" s="45">
        <f>AW107+AX107</f>
      </c>
      <c r="BD107" s="45">
        <f>G107/(100-BE107)*100</f>
      </c>
      <c r="BE107" s="45" t="n">
        <v>0</v>
      </c>
      <c r="BF107" s="45">
        <f>107</f>
      </c>
      <c r="BH107" s="45">
        <f>F107*AO107</f>
      </c>
      <c r="BI107" s="45">
        <f>F107*AP107</f>
      </c>
      <c r="BJ107" s="45">
        <f>F107*G107</f>
      </c>
      <c r="BK107" s="45"/>
      <c r="BL107" s="45" t="n">
        <v>725</v>
      </c>
      <c r="BW107" s="45" t="n">
        <v>12</v>
      </c>
      <c r="BX107" s="14" t="s">
        <v>318</v>
      </c>
    </row>
    <row r="108" customHeight="true" ht="13.5">
      <c r="A108" s="48"/>
      <c r="B108" s="49" t="s">
        <v>119</v>
      </c>
      <c r="C108" s="50" t="s">
        <v>321</v>
      </c>
      <c r="D108" s="51"/>
      <c r="E108" s="51"/>
      <c r="F108" s="51"/>
      <c r="G108" s="51"/>
      <c r="H108" s="51"/>
      <c r="I108" s="51"/>
      <c r="J108" s="51"/>
      <c r="K108" s="52"/>
    </row>
    <row r="109" ht="24.75">
      <c r="A109" s="9" t="s">
        <v>322</v>
      </c>
      <c r="B109" s="10" t="s">
        <v>317</v>
      </c>
      <c r="C109" s="14" t="s">
        <v>323</v>
      </c>
      <c r="D109" s="10"/>
      <c r="E109" s="10" t="s">
        <v>319</v>
      </c>
      <c r="F109" s="45" t="n">
        <v>5</v>
      </c>
      <c r="G109" s="45" t="n">
        <v>0</v>
      </c>
      <c r="H109" s="45">
        <f>F109*AO109</f>
      </c>
      <c r="I109" s="45">
        <f>F109*AP109</f>
      </c>
      <c r="J109" s="45">
        <f>F109*G109</f>
      </c>
      <c r="K109" s="46" t="s">
        <v>52</v>
      </c>
      <c r="Z109" s="45">
        <f>IF(AQ109="5",BJ109,0)</f>
      </c>
      <c r="AB109" s="45">
        <f>IF(AQ109="1",BH109,0)</f>
      </c>
      <c r="AC109" s="45">
        <f>IF(AQ109="1",BI109,0)</f>
      </c>
      <c r="AD109" s="45">
        <f>IF(AQ109="7",BH109,0)</f>
      </c>
      <c r="AE109" s="45">
        <f>IF(AQ109="7",BI109,0)</f>
      </c>
      <c r="AF109" s="45">
        <f>IF(AQ109="2",BH109,0)</f>
      </c>
      <c r="AG109" s="45">
        <f>IF(AQ109="2",BI109,0)</f>
      </c>
      <c r="AH109" s="45">
        <f>IF(AQ109="0",BJ109,0)</f>
      </c>
      <c r="AI109" s="28" t="s">
        <v>45</v>
      </c>
      <c r="AJ109" s="45">
        <f>IF(AN109=0,J109,0)</f>
      </c>
      <c r="AK109" s="45">
        <f>IF(AN109=12,J109,0)</f>
      </c>
      <c r="AL109" s="45">
        <f>IF(AN109=21,J109,0)</f>
      </c>
      <c r="AN109" s="45" t="n">
        <v>12</v>
      </c>
      <c r="AO109" s="45">
        <f>G109*0.893443447</f>
      </c>
      <c r="AP109" s="45">
        <f>G109*(1-0.893443447)</f>
      </c>
      <c r="AQ109" s="47" t="s">
        <v>53</v>
      </c>
      <c r="AV109" s="45">
        <f>AW109+AX109</f>
      </c>
      <c r="AW109" s="45">
        <f>F109*AO109</f>
      </c>
      <c r="AX109" s="45">
        <f>F109*AP109</f>
      </c>
      <c r="AY109" s="47" t="s">
        <v>320</v>
      </c>
      <c r="AZ109" s="47" t="s">
        <v>55</v>
      </c>
      <c r="BA109" s="28" t="s">
        <v>56</v>
      </c>
      <c r="BC109" s="45">
        <f>AW109+AX109</f>
      </c>
      <c r="BD109" s="45">
        <f>G109/(100-BE109)*100</f>
      </c>
      <c r="BE109" s="45" t="n">
        <v>0</v>
      </c>
      <c r="BF109" s="45">
        <f>109</f>
      </c>
      <c r="BH109" s="45">
        <f>F109*AO109</f>
      </c>
      <c r="BI109" s="45">
        <f>F109*AP109</f>
      </c>
      <c r="BJ109" s="45">
        <f>F109*G109</f>
      </c>
      <c r="BK109" s="45"/>
      <c r="BL109" s="45" t="n">
        <v>725</v>
      </c>
      <c r="BW109" s="45" t="n">
        <v>12</v>
      </c>
      <c r="BX109" s="14" t="s">
        <v>323</v>
      </c>
    </row>
    <row r="110" customHeight="true" ht="13.5">
      <c r="A110" s="48"/>
      <c r="B110" s="49" t="s">
        <v>119</v>
      </c>
      <c r="C110" s="50" t="s">
        <v>324</v>
      </c>
      <c r="D110" s="51"/>
      <c r="E110" s="51"/>
      <c r="F110" s="51"/>
      <c r="G110" s="51"/>
      <c r="H110" s="51"/>
      <c r="I110" s="51"/>
      <c r="J110" s="51"/>
      <c r="K110" s="52"/>
    </row>
    <row r="111" ht="24.75">
      <c r="A111" s="9" t="s">
        <v>325</v>
      </c>
      <c r="B111" s="10" t="s">
        <v>326</v>
      </c>
      <c r="C111" s="14" t="s">
        <v>327</v>
      </c>
      <c r="D111" s="10"/>
      <c r="E111" s="10" t="s">
        <v>319</v>
      </c>
      <c r="F111" s="45" t="n">
        <v>9</v>
      </c>
      <c r="G111" s="45" t="n">
        <v>0</v>
      </c>
      <c r="H111" s="45">
        <f>F111*AO111</f>
      </c>
      <c r="I111" s="45">
        <f>F111*AP111</f>
      </c>
      <c r="J111" s="45">
        <f>F111*G111</f>
      </c>
      <c r="K111" s="46" t="s">
        <v>52</v>
      </c>
      <c r="Z111" s="45">
        <f>IF(AQ111="5",BJ111,0)</f>
      </c>
      <c r="AB111" s="45">
        <f>IF(AQ111="1",BH111,0)</f>
      </c>
      <c r="AC111" s="45">
        <f>IF(AQ111="1",BI111,0)</f>
      </c>
      <c r="AD111" s="45">
        <f>IF(AQ111="7",BH111,0)</f>
      </c>
      <c r="AE111" s="45">
        <f>IF(AQ111="7",BI111,0)</f>
      </c>
      <c r="AF111" s="45">
        <f>IF(AQ111="2",BH111,0)</f>
      </c>
      <c r="AG111" s="45">
        <f>IF(AQ111="2",BI111,0)</f>
      </c>
      <c r="AH111" s="45">
        <f>IF(AQ111="0",BJ111,0)</f>
      </c>
      <c r="AI111" s="28" t="s">
        <v>45</v>
      </c>
      <c r="AJ111" s="45">
        <f>IF(AN111=0,J111,0)</f>
      </c>
      <c r="AK111" s="45">
        <f>IF(AN111=12,J111,0)</f>
      </c>
      <c r="AL111" s="45">
        <f>IF(AN111=21,J111,0)</f>
      </c>
      <c r="AN111" s="45" t="n">
        <v>12</v>
      </c>
      <c r="AO111" s="45">
        <f>G111*0.882640217</f>
      </c>
      <c r="AP111" s="45">
        <f>G111*(1-0.882640217)</f>
      </c>
      <c r="AQ111" s="47" t="s">
        <v>53</v>
      </c>
      <c r="AV111" s="45">
        <f>AW111+AX111</f>
      </c>
      <c r="AW111" s="45">
        <f>F111*AO111</f>
      </c>
      <c r="AX111" s="45">
        <f>F111*AP111</f>
      </c>
      <c r="AY111" s="47" t="s">
        <v>320</v>
      </c>
      <c r="AZ111" s="47" t="s">
        <v>55</v>
      </c>
      <c r="BA111" s="28" t="s">
        <v>56</v>
      </c>
      <c r="BC111" s="45">
        <f>AW111+AX111</f>
      </c>
      <c r="BD111" s="45">
        <f>G111/(100-BE111)*100</f>
      </c>
      <c r="BE111" s="45" t="n">
        <v>0</v>
      </c>
      <c r="BF111" s="45">
        <f>111</f>
      </c>
      <c r="BH111" s="45">
        <f>F111*AO111</f>
      </c>
      <c r="BI111" s="45">
        <f>F111*AP111</f>
      </c>
      <c r="BJ111" s="45">
        <f>F111*G111</f>
      </c>
      <c r="BK111" s="45"/>
      <c r="BL111" s="45" t="n">
        <v>725</v>
      </c>
      <c r="BW111" s="45" t="n">
        <v>12</v>
      </c>
      <c r="BX111" s="14" t="s">
        <v>327</v>
      </c>
    </row>
    <row r="112" customHeight="true" ht="13.5">
      <c r="A112" s="48"/>
      <c r="B112" s="49" t="s">
        <v>119</v>
      </c>
      <c r="C112" s="50" t="s">
        <v>328</v>
      </c>
      <c r="D112" s="51"/>
      <c r="E112" s="51"/>
      <c r="F112" s="51"/>
      <c r="G112" s="51"/>
      <c r="H112" s="51"/>
      <c r="I112" s="51"/>
      <c r="J112" s="51"/>
      <c r="K112" s="52"/>
    </row>
    <row r="113">
      <c r="A113" s="9" t="s">
        <v>329</v>
      </c>
      <c r="B113" s="10" t="s">
        <v>330</v>
      </c>
      <c r="C113" s="14" t="s">
        <v>331</v>
      </c>
      <c r="D113" s="10"/>
      <c r="E113" s="10" t="s">
        <v>319</v>
      </c>
      <c r="F113" s="45" t="n">
        <v>9</v>
      </c>
      <c r="G113" s="45" t="n">
        <v>0</v>
      </c>
      <c r="H113" s="45">
        <f>F113*AO113</f>
      </c>
      <c r="I113" s="45">
        <f>F113*AP113</f>
      </c>
      <c r="J113" s="45">
        <f>F113*G113</f>
      </c>
      <c r="K113" s="46" t="s">
        <v>52</v>
      </c>
      <c r="Z113" s="45">
        <f>IF(AQ113="5",BJ113,0)</f>
      </c>
      <c r="AB113" s="45">
        <f>IF(AQ113="1",BH113,0)</f>
      </c>
      <c r="AC113" s="45">
        <f>IF(AQ113="1",BI113,0)</f>
      </c>
      <c r="AD113" s="45">
        <f>IF(AQ113="7",BH113,0)</f>
      </c>
      <c r="AE113" s="45">
        <f>IF(AQ113="7",BI113,0)</f>
      </c>
      <c r="AF113" s="45">
        <f>IF(AQ113="2",BH113,0)</f>
      </c>
      <c r="AG113" s="45">
        <f>IF(AQ113="2",BI113,0)</f>
      </c>
      <c r="AH113" s="45">
        <f>IF(AQ113="0",BJ113,0)</f>
      </c>
      <c r="AI113" s="28" t="s">
        <v>45</v>
      </c>
      <c r="AJ113" s="45">
        <f>IF(AN113=0,J113,0)</f>
      </c>
      <c r="AK113" s="45">
        <f>IF(AN113=12,J113,0)</f>
      </c>
      <c r="AL113" s="45">
        <f>IF(AN113=21,J113,0)</f>
      </c>
      <c r="AN113" s="45" t="n">
        <v>12</v>
      </c>
      <c r="AO113" s="45">
        <f>G113*0</f>
      </c>
      <c r="AP113" s="45">
        <f>G113*(1-0)</f>
      </c>
      <c r="AQ113" s="47" t="s">
        <v>53</v>
      </c>
      <c r="AV113" s="45">
        <f>AW113+AX113</f>
      </c>
      <c r="AW113" s="45">
        <f>F113*AO113</f>
      </c>
      <c r="AX113" s="45">
        <f>F113*AP113</f>
      </c>
      <c r="AY113" s="47" t="s">
        <v>320</v>
      </c>
      <c r="AZ113" s="47" t="s">
        <v>55</v>
      </c>
      <c r="BA113" s="28" t="s">
        <v>56</v>
      </c>
      <c r="BC113" s="45">
        <f>AW113+AX113</f>
      </c>
      <c r="BD113" s="45">
        <f>G113/(100-BE113)*100</f>
      </c>
      <c r="BE113" s="45" t="n">
        <v>0</v>
      </c>
      <c r="BF113" s="45">
        <f>113</f>
      </c>
      <c r="BH113" s="45">
        <f>F113*AO113</f>
      </c>
      <c r="BI113" s="45">
        <f>F113*AP113</f>
      </c>
      <c r="BJ113" s="45">
        <f>F113*G113</f>
      </c>
      <c r="BK113" s="45"/>
      <c r="BL113" s="45" t="n">
        <v>725</v>
      </c>
      <c r="BW113" s="45" t="n">
        <v>12</v>
      </c>
      <c r="BX113" s="14" t="s">
        <v>331</v>
      </c>
    </row>
    <row r="114">
      <c r="A114" s="9" t="s">
        <v>332</v>
      </c>
      <c r="B114" s="10" t="s">
        <v>333</v>
      </c>
      <c r="C114" s="14" t="s">
        <v>334</v>
      </c>
      <c r="D114" s="10"/>
      <c r="E114" s="10" t="s">
        <v>319</v>
      </c>
      <c r="F114" s="45" t="n">
        <v>9</v>
      </c>
      <c r="G114" s="45" t="n">
        <v>0</v>
      </c>
      <c r="H114" s="45">
        <f>F114*AO114</f>
      </c>
      <c r="I114" s="45">
        <f>F114*AP114</f>
      </c>
      <c r="J114" s="45">
        <f>F114*G114</f>
      </c>
      <c r="K114" s="46" t="s">
        <v>52</v>
      </c>
      <c r="Z114" s="45">
        <f>IF(AQ114="5",BJ114,0)</f>
      </c>
      <c r="AB114" s="45">
        <f>IF(AQ114="1",BH114,0)</f>
      </c>
      <c r="AC114" s="45">
        <f>IF(AQ114="1",BI114,0)</f>
      </c>
      <c r="AD114" s="45">
        <f>IF(AQ114="7",BH114,0)</f>
      </c>
      <c r="AE114" s="45">
        <f>IF(AQ114="7",BI114,0)</f>
      </c>
      <c r="AF114" s="45">
        <f>IF(AQ114="2",BH114,0)</f>
      </c>
      <c r="AG114" s="45">
        <f>IF(AQ114="2",BI114,0)</f>
      </c>
      <c r="AH114" s="45">
        <f>IF(AQ114="0",BJ114,0)</f>
      </c>
      <c r="AI114" s="28" t="s">
        <v>45</v>
      </c>
      <c r="AJ114" s="45">
        <f>IF(AN114=0,J114,0)</f>
      </c>
      <c r="AK114" s="45">
        <f>IF(AN114=12,J114,0)</f>
      </c>
      <c r="AL114" s="45">
        <f>IF(AN114=21,J114,0)</f>
      </c>
      <c r="AN114" s="45" t="n">
        <v>12</v>
      </c>
      <c r="AO114" s="45">
        <f>G114*0.235612577</f>
      </c>
      <c r="AP114" s="45">
        <f>G114*(1-0.235612577)</f>
      </c>
      <c r="AQ114" s="47" t="s">
        <v>53</v>
      </c>
      <c r="AV114" s="45">
        <f>AW114+AX114</f>
      </c>
      <c r="AW114" s="45">
        <f>F114*AO114</f>
      </c>
      <c r="AX114" s="45">
        <f>F114*AP114</f>
      </c>
      <c r="AY114" s="47" t="s">
        <v>320</v>
      </c>
      <c r="AZ114" s="47" t="s">
        <v>55</v>
      </c>
      <c r="BA114" s="28" t="s">
        <v>56</v>
      </c>
      <c r="BC114" s="45">
        <f>AW114+AX114</f>
      </c>
      <c r="BD114" s="45">
        <f>G114/(100-BE114)*100</f>
      </c>
      <c r="BE114" s="45" t="n">
        <v>0</v>
      </c>
      <c r="BF114" s="45">
        <f>114</f>
      </c>
      <c r="BH114" s="45">
        <f>F114*AO114</f>
      </c>
      <c r="BI114" s="45">
        <f>F114*AP114</f>
      </c>
      <c r="BJ114" s="45">
        <f>F114*G114</f>
      </c>
      <c r="BK114" s="45"/>
      <c r="BL114" s="45" t="n">
        <v>725</v>
      </c>
      <c r="BW114" s="45" t="n">
        <v>12</v>
      </c>
      <c r="BX114" s="14" t="s">
        <v>334</v>
      </c>
    </row>
    <row r="115">
      <c r="A115" s="9" t="s">
        <v>335</v>
      </c>
      <c r="B115" s="10" t="s">
        <v>336</v>
      </c>
      <c r="C115" s="14" t="s">
        <v>337</v>
      </c>
      <c r="D115" s="10"/>
      <c r="E115" s="10" t="s">
        <v>319</v>
      </c>
      <c r="F115" s="45" t="n">
        <v>5</v>
      </c>
      <c r="G115" s="45" t="n">
        <v>0</v>
      </c>
      <c r="H115" s="45">
        <f>F115*AO115</f>
      </c>
      <c r="I115" s="45">
        <f>F115*AP115</f>
      </c>
      <c r="J115" s="45">
        <f>F115*G115</f>
      </c>
      <c r="K115" s="46" t="s">
        <v>52</v>
      </c>
      <c r="Z115" s="45">
        <f>IF(AQ115="5",BJ115,0)</f>
      </c>
      <c r="AB115" s="45">
        <f>IF(AQ115="1",BH115,0)</f>
      </c>
      <c r="AC115" s="45">
        <f>IF(AQ115="1",BI115,0)</f>
      </c>
      <c r="AD115" s="45">
        <f>IF(AQ115="7",BH115,0)</f>
      </c>
      <c r="AE115" s="45">
        <f>IF(AQ115="7",BI115,0)</f>
      </c>
      <c r="AF115" s="45">
        <f>IF(AQ115="2",BH115,0)</f>
      </c>
      <c r="AG115" s="45">
        <f>IF(AQ115="2",BI115,0)</f>
      </c>
      <c r="AH115" s="45">
        <f>IF(AQ115="0",BJ115,0)</f>
      </c>
      <c r="AI115" s="28" t="s">
        <v>45</v>
      </c>
      <c r="AJ115" s="45">
        <f>IF(AN115=0,J115,0)</f>
      </c>
      <c r="AK115" s="45">
        <f>IF(AN115=12,J115,0)</f>
      </c>
      <c r="AL115" s="45">
        <f>IF(AN115=21,J115,0)</f>
      </c>
      <c r="AN115" s="45" t="n">
        <v>12</v>
      </c>
      <c r="AO115" s="45">
        <f>G115*0.693970464</f>
      </c>
      <c r="AP115" s="45">
        <f>G115*(1-0.693970464)</f>
      </c>
      <c r="AQ115" s="47" t="s">
        <v>53</v>
      </c>
      <c r="AV115" s="45">
        <f>AW115+AX115</f>
      </c>
      <c r="AW115" s="45">
        <f>F115*AO115</f>
      </c>
      <c r="AX115" s="45">
        <f>F115*AP115</f>
      </c>
      <c r="AY115" s="47" t="s">
        <v>320</v>
      </c>
      <c r="AZ115" s="47" t="s">
        <v>55</v>
      </c>
      <c r="BA115" s="28" t="s">
        <v>56</v>
      </c>
      <c r="BC115" s="45">
        <f>AW115+AX115</f>
      </c>
      <c r="BD115" s="45">
        <f>G115/(100-BE115)*100</f>
      </c>
      <c r="BE115" s="45" t="n">
        <v>0</v>
      </c>
      <c r="BF115" s="45">
        <f>115</f>
      </c>
      <c r="BH115" s="45">
        <f>F115*AO115</f>
      </c>
      <c r="BI115" s="45">
        <f>F115*AP115</f>
      </c>
      <c r="BJ115" s="45">
        <f>F115*G115</f>
      </c>
      <c r="BK115" s="45"/>
      <c r="BL115" s="45" t="n">
        <v>725</v>
      </c>
      <c r="BW115" s="45" t="n">
        <v>12</v>
      </c>
      <c r="BX115" s="14" t="s">
        <v>337</v>
      </c>
    </row>
    <row r="116" customHeight="true" ht="13.5">
      <c r="A116" s="48"/>
      <c r="B116" s="49" t="s">
        <v>119</v>
      </c>
      <c r="C116" s="50" t="s">
        <v>338</v>
      </c>
      <c r="D116" s="51"/>
      <c r="E116" s="51"/>
      <c r="F116" s="51"/>
      <c r="G116" s="51"/>
      <c r="H116" s="51"/>
      <c r="I116" s="51"/>
      <c r="J116" s="51"/>
      <c r="K116" s="52"/>
    </row>
    <row r="117">
      <c r="A117" s="9" t="s">
        <v>339</v>
      </c>
      <c r="B117" s="10" t="s">
        <v>340</v>
      </c>
      <c r="C117" s="14" t="s">
        <v>341</v>
      </c>
      <c r="D117" s="10"/>
      <c r="E117" s="10" t="s">
        <v>319</v>
      </c>
      <c r="F117" s="45" t="n">
        <v>2</v>
      </c>
      <c r="G117" s="45" t="n">
        <v>0</v>
      </c>
      <c r="H117" s="45">
        <f>F117*AO117</f>
      </c>
      <c r="I117" s="45">
        <f>F117*AP117</f>
      </c>
      <c r="J117" s="45">
        <f>F117*G117</f>
      </c>
      <c r="K117" s="46" t="s">
        <v>52</v>
      </c>
      <c r="Z117" s="45">
        <f>IF(AQ117="5",BJ117,0)</f>
      </c>
      <c r="AB117" s="45">
        <f>IF(AQ117="1",BH117,0)</f>
      </c>
      <c r="AC117" s="45">
        <f>IF(AQ117="1",BI117,0)</f>
      </c>
      <c r="AD117" s="45">
        <f>IF(AQ117="7",BH117,0)</f>
      </c>
      <c r="AE117" s="45">
        <f>IF(AQ117="7",BI117,0)</f>
      </c>
      <c r="AF117" s="45">
        <f>IF(AQ117="2",BH117,0)</f>
      </c>
      <c r="AG117" s="45">
        <f>IF(AQ117="2",BI117,0)</f>
      </c>
      <c r="AH117" s="45">
        <f>IF(AQ117="0",BJ117,0)</f>
      </c>
      <c r="AI117" s="28" t="s">
        <v>45</v>
      </c>
      <c r="AJ117" s="45">
        <f>IF(AN117=0,J117,0)</f>
      </c>
      <c r="AK117" s="45">
        <f>IF(AN117=12,J117,0)</f>
      </c>
      <c r="AL117" s="45">
        <f>IF(AN117=21,J117,0)</f>
      </c>
      <c r="AN117" s="45" t="n">
        <v>12</v>
      </c>
      <c r="AO117" s="45">
        <f>G117*0.801009709</f>
      </c>
      <c r="AP117" s="45">
        <f>G117*(1-0.801009709)</f>
      </c>
      <c r="AQ117" s="47" t="s">
        <v>53</v>
      </c>
      <c r="AV117" s="45">
        <f>AW117+AX117</f>
      </c>
      <c r="AW117" s="45">
        <f>F117*AO117</f>
      </c>
      <c r="AX117" s="45">
        <f>F117*AP117</f>
      </c>
      <c r="AY117" s="47" t="s">
        <v>320</v>
      </c>
      <c r="AZ117" s="47" t="s">
        <v>55</v>
      </c>
      <c r="BA117" s="28" t="s">
        <v>56</v>
      </c>
      <c r="BC117" s="45">
        <f>AW117+AX117</f>
      </c>
      <c r="BD117" s="45">
        <f>G117/(100-BE117)*100</f>
      </c>
      <c r="BE117" s="45" t="n">
        <v>0</v>
      </c>
      <c r="BF117" s="45">
        <f>117</f>
      </c>
      <c r="BH117" s="45">
        <f>F117*AO117</f>
      </c>
      <c r="BI117" s="45">
        <f>F117*AP117</f>
      </c>
      <c r="BJ117" s="45">
        <f>F117*G117</f>
      </c>
      <c r="BK117" s="45"/>
      <c r="BL117" s="45" t="n">
        <v>725</v>
      </c>
      <c r="BW117" s="45" t="n">
        <v>12</v>
      </c>
      <c r="BX117" s="14" t="s">
        <v>341</v>
      </c>
    </row>
    <row r="118" customHeight="true" ht="13.5">
      <c r="A118" s="48"/>
      <c r="B118" s="49" t="s">
        <v>119</v>
      </c>
      <c r="C118" s="50" t="s">
        <v>338</v>
      </c>
      <c r="D118" s="51"/>
      <c r="E118" s="51"/>
      <c r="F118" s="51"/>
      <c r="G118" s="51"/>
      <c r="H118" s="51"/>
      <c r="I118" s="51"/>
      <c r="J118" s="51"/>
      <c r="K118" s="52"/>
    </row>
    <row r="119">
      <c r="A119" s="9" t="s">
        <v>342</v>
      </c>
      <c r="B119" s="10" t="s">
        <v>343</v>
      </c>
      <c r="C119" s="14" t="s">
        <v>344</v>
      </c>
      <c r="D119" s="10"/>
      <c r="E119" s="10" t="s">
        <v>319</v>
      </c>
      <c r="F119" s="45" t="n">
        <v>5</v>
      </c>
      <c r="G119" s="45" t="n">
        <v>0</v>
      </c>
      <c r="H119" s="45">
        <f>F119*AO119</f>
      </c>
      <c r="I119" s="45">
        <f>F119*AP119</f>
      </c>
      <c r="J119" s="45">
        <f>F119*G119</f>
      </c>
      <c r="K119" s="46" t="s">
        <v>52</v>
      </c>
      <c r="Z119" s="45">
        <f>IF(AQ119="5",BJ119,0)</f>
      </c>
      <c r="AB119" s="45">
        <f>IF(AQ119="1",BH119,0)</f>
      </c>
      <c r="AC119" s="45">
        <f>IF(AQ119="1",BI119,0)</f>
      </c>
      <c r="AD119" s="45">
        <f>IF(AQ119="7",BH119,0)</f>
      </c>
      <c r="AE119" s="45">
        <f>IF(AQ119="7",BI119,0)</f>
      </c>
      <c r="AF119" s="45">
        <f>IF(AQ119="2",BH119,0)</f>
      </c>
      <c r="AG119" s="45">
        <f>IF(AQ119="2",BI119,0)</f>
      </c>
      <c r="AH119" s="45">
        <f>IF(AQ119="0",BJ119,0)</f>
      </c>
      <c r="AI119" s="28" t="s">
        <v>45</v>
      </c>
      <c r="AJ119" s="45">
        <f>IF(AN119=0,J119,0)</f>
      </c>
      <c r="AK119" s="45">
        <f>IF(AN119=12,J119,0)</f>
      </c>
      <c r="AL119" s="45">
        <f>IF(AN119=21,J119,0)</f>
      </c>
      <c r="AN119" s="45" t="n">
        <v>12</v>
      </c>
      <c r="AO119" s="45">
        <f>G119*0.773869153</f>
      </c>
      <c r="AP119" s="45">
        <f>G119*(1-0.773869153)</f>
      </c>
      <c r="AQ119" s="47" t="s">
        <v>53</v>
      </c>
      <c r="AV119" s="45">
        <f>AW119+AX119</f>
      </c>
      <c r="AW119" s="45">
        <f>F119*AO119</f>
      </c>
      <c r="AX119" s="45">
        <f>F119*AP119</f>
      </c>
      <c r="AY119" s="47" t="s">
        <v>320</v>
      </c>
      <c r="AZ119" s="47" t="s">
        <v>55</v>
      </c>
      <c r="BA119" s="28" t="s">
        <v>56</v>
      </c>
      <c r="BC119" s="45">
        <f>AW119+AX119</f>
      </c>
      <c r="BD119" s="45">
        <f>G119/(100-BE119)*100</f>
      </c>
      <c r="BE119" s="45" t="n">
        <v>0</v>
      </c>
      <c r="BF119" s="45">
        <f>119</f>
      </c>
      <c r="BH119" s="45">
        <f>F119*AO119</f>
      </c>
      <c r="BI119" s="45">
        <f>F119*AP119</f>
      </c>
      <c r="BJ119" s="45">
        <f>F119*G119</f>
      </c>
      <c r="BK119" s="45"/>
      <c r="BL119" s="45" t="n">
        <v>725</v>
      </c>
      <c r="BW119" s="45" t="n">
        <v>12</v>
      </c>
      <c r="BX119" s="14" t="s">
        <v>344</v>
      </c>
    </row>
    <row r="120" customHeight="true" ht="13.5">
      <c r="A120" s="48"/>
      <c r="B120" s="49" t="s">
        <v>119</v>
      </c>
      <c r="C120" s="50" t="s">
        <v>338</v>
      </c>
      <c r="D120" s="51"/>
      <c r="E120" s="51"/>
      <c r="F120" s="51"/>
      <c r="G120" s="51"/>
      <c r="H120" s="51"/>
      <c r="I120" s="51"/>
      <c r="J120" s="51"/>
      <c r="K120" s="52"/>
    </row>
    <row r="121">
      <c r="A121" s="9" t="s">
        <v>345</v>
      </c>
      <c r="B121" s="10" t="s">
        <v>346</v>
      </c>
      <c r="C121" s="14" t="s">
        <v>347</v>
      </c>
      <c r="D121" s="10"/>
      <c r="E121" s="10" t="s">
        <v>319</v>
      </c>
      <c r="F121" s="45" t="n">
        <v>1</v>
      </c>
      <c r="G121" s="45" t="n">
        <v>0</v>
      </c>
      <c r="H121" s="45">
        <f>F121*AO121</f>
      </c>
      <c r="I121" s="45">
        <f>F121*AP121</f>
      </c>
      <c r="J121" s="45">
        <f>F121*G121</f>
      </c>
      <c r="K121" s="46" t="s">
        <v>115</v>
      </c>
      <c r="Z121" s="45">
        <f>IF(AQ121="5",BJ121,0)</f>
      </c>
      <c r="AB121" s="45">
        <f>IF(AQ121="1",BH121,0)</f>
      </c>
      <c r="AC121" s="45">
        <f>IF(AQ121="1",BI121,0)</f>
      </c>
      <c r="AD121" s="45">
        <f>IF(AQ121="7",BH121,0)</f>
      </c>
      <c r="AE121" s="45">
        <f>IF(AQ121="7",BI121,0)</f>
      </c>
      <c r="AF121" s="45">
        <f>IF(AQ121="2",BH121,0)</f>
      </c>
      <c r="AG121" s="45">
        <f>IF(AQ121="2",BI121,0)</f>
      </c>
      <c r="AH121" s="45">
        <f>IF(AQ121="0",BJ121,0)</f>
      </c>
      <c r="AI121" s="28" t="s">
        <v>45</v>
      </c>
      <c r="AJ121" s="45">
        <f>IF(AN121=0,J121,0)</f>
      </c>
      <c r="AK121" s="45">
        <f>IF(AN121=12,J121,0)</f>
      </c>
      <c r="AL121" s="45">
        <f>IF(AN121=21,J121,0)</f>
      </c>
      <c r="AN121" s="45" t="n">
        <v>12</v>
      </c>
      <c r="AO121" s="45">
        <f>G121*0.699931141</f>
      </c>
      <c r="AP121" s="45">
        <f>G121*(1-0.699931141)</f>
      </c>
      <c r="AQ121" s="47" t="s">
        <v>53</v>
      </c>
      <c r="AV121" s="45">
        <f>AW121+AX121</f>
      </c>
      <c r="AW121" s="45">
        <f>F121*AO121</f>
      </c>
      <c r="AX121" s="45">
        <f>F121*AP121</f>
      </c>
      <c r="AY121" s="47" t="s">
        <v>320</v>
      </c>
      <c r="AZ121" s="47" t="s">
        <v>55</v>
      </c>
      <c r="BA121" s="28" t="s">
        <v>56</v>
      </c>
      <c r="BC121" s="45">
        <f>AW121+AX121</f>
      </c>
      <c r="BD121" s="45">
        <f>G121/(100-BE121)*100</f>
      </c>
      <c r="BE121" s="45" t="n">
        <v>0</v>
      </c>
      <c r="BF121" s="45">
        <f>121</f>
      </c>
      <c r="BH121" s="45">
        <f>F121*AO121</f>
      </c>
      <c r="BI121" s="45">
        <f>F121*AP121</f>
      </c>
      <c r="BJ121" s="45">
        <f>F121*G121</f>
      </c>
      <c r="BK121" s="45"/>
      <c r="BL121" s="45" t="n">
        <v>725</v>
      </c>
      <c r="BW121" s="45" t="n">
        <v>12</v>
      </c>
      <c r="BX121" s="14" t="s">
        <v>347</v>
      </c>
    </row>
    <row r="122" customHeight="true" ht="13.5">
      <c r="A122" s="48"/>
      <c r="B122" s="49" t="s">
        <v>119</v>
      </c>
      <c r="C122" s="50" t="s">
        <v>348</v>
      </c>
      <c r="D122" s="51"/>
      <c r="E122" s="51"/>
      <c r="F122" s="51"/>
      <c r="G122" s="51"/>
      <c r="H122" s="51"/>
      <c r="I122" s="51"/>
      <c r="J122" s="51"/>
      <c r="K122" s="52"/>
    </row>
    <row r="123">
      <c r="A123" s="9" t="s">
        <v>349</v>
      </c>
      <c r="B123" s="10" t="s">
        <v>350</v>
      </c>
      <c r="C123" s="14" t="s">
        <v>351</v>
      </c>
      <c r="D123" s="10"/>
      <c r="E123" s="10" t="s">
        <v>111</v>
      </c>
      <c r="F123" s="45" t="n">
        <v>20</v>
      </c>
      <c r="G123" s="45" t="n">
        <v>0</v>
      </c>
      <c r="H123" s="45">
        <f>F123*AO123</f>
      </c>
      <c r="I123" s="45">
        <f>F123*AP123</f>
      </c>
      <c r="J123" s="45">
        <f>F123*G123</f>
      </c>
      <c r="K123" s="46" t="s">
        <v>52</v>
      </c>
      <c r="Z123" s="45">
        <f>IF(AQ123="5",BJ123,0)</f>
      </c>
      <c r="AB123" s="45">
        <f>IF(AQ123="1",BH123,0)</f>
      </c>
      <c r="AC123" s="45">
        <f>IF(AQ123="1",BI123,0)</f>
      </c>
      <c r="AD123" s="45">
        <f>IF(AQ123="7",BH123,0)</f>
      </c>
      <c r="AE123" s="45">
        <f>IF(AQ123="7",BI123,0)</f>
      </c>
      <c r="AF123" s="45">
        <f>IF(AQ123="2",BH123,0)</f>
      </c>
      <c r="AG123" s="45">
        <f>IF(AQ123="2",BI123,0)</f>
      </c>
      <c r="AH123" s="45">
        <f>IF(AQ123="0",BJ123,0)</f>
      </c>
      <c r="AI123" s="28" t="s">
        <v>45</v>
      </c>
      <c r="AJ123" s="45">
        <f>IF(AN123=0,J123,0)</f>
      </c>
      <c r="AK123" s="45">
        <f>IF(AN123=12,J123,0)</f>
      </c>
      <c r="AL123" s="45">
        <f>IF(AN123=21,J123,0)</f>
      </c>
      <c r="AN123" s="45" t="n">
        <v>12</v>
      </c>
      <c r="AO123" s="45">
        <f>G123*0.895503268</f>
      </c>
      <c r="AP123" s="45">
        <f>G123*(1-0.895503268)</f>
      </c>
      <c r="AQ123" s="47" t="s">
        <v>53</v>
      </c>
      <c r="AV123" s="45">
        <f>AW123+AX123</f>
      </c>
      <c r="AW123" s="45">
        <f>F123*AO123</f>
      </c>
      <c r="AX123" s="45">
        <f>F123*AP123</f>
      </c>
      <c r="AY123" s="47" t="s">
        <v>320</v>
      </c>
      <c r="AZ123" s="47" t="s">
        <v>55</v>
      </c>
      <c r="BA123" s="28" t="s">
        <v>56</v>
      </c>
      <c r="BC123" s="45">
        <f>AW123+AX123</f>
      </c>
      <c r="BD123" s="45">
        <f>G123/(100-BE123)*100</f>
      </c>
      <c r="BE123" s="45" t="n">
        <v>0</v>
      </c>
      <c r="BF123" s="45">
        <f>123</f>
      </c>
      <c r="BH123" s="45">
        <f>F123*AO123</f>
      </c>
      <c r="BI123" s="45">
        <f>F123*AP123</f>
      </c>
      <c r="BJ123" s="45">
        <f>F123*G123</f>
      </c>
      <c r="BK123" s="45"/>
      <c r="BL123" s="45" t="n">
        <v>725</v>
      </c>
      <c r="BW123" s="45" t="n">
        <v>12</v>
      </c>
      <c r="BX123" s="14" t="s">
        <v>351</v>
      </c>
    </row>
    <row r="124" customHeight="true" ht="13.5">
      <c r="A124" s="48"/>
      <c r="B124" s="49" t="s">
        <v>119</v>
      </c>
      <c r="C124" s="50" t="s">
        <v>352</v>
      </c>
      <c r="D124" s="51"/>
      <c r="E124" s="51"/>
      <c r="F124" s="51"/>
      <c r="G124" s="51"/>
      <c r="H124" s="51"/>
      <c r="I124" s="51"/>
      <c r="J124" s="51"/>
      <c r="K124" s="52"/>
    </row>
    <row r="125">
      <c r="A125" s="9" t="s">
        <v>353</v>
      </c>
      <c r="B125" s="10" t="s">
        <v>350</v>
      </c>
      <c r="C125" s="14" t="s">
        <v>354</v>
      </c>
      <c r="D125" s="10"/>
      <c r="E125" s="10" t="s">
        <v>111</v>
      </c>
      <c r="F125" s="45" t="n">
        <v>5</v>
      </c>
      <c r="G125" s="45" t="n">
        <v>0</v>
      </c>
      <c r="H125" s="45">
        <f>F125*AO125</f>
      </c>
      <c r="I125" s="45">
        <f>F125*AP125</f>
      </c>
      <c r="J125" s="45">
        <f>F125*G125</f>
      </c>
      <c r="K125" s="46" t="s">
        <v>52</v>
      </c>
      <c r="Z125" s="45">
        <f>IF(AQ125="5",BJ125,0)</f>
      </c>
      <c r="AB125" s="45">
        <f>IF(AQ125="1",BH125,0)</f>
      </c>
      <c r="AC125" s="45">
        <f>IF(AQ125="1",BI125,0)</f>
      </c>
      <c r="AD125" s="45">
        <f>IF(AQ125="7",BH125,0)</f>
      </c>
      <c r="AE125" s="45">
        <f>IF(AQ125="7",BI125,0)</f>
      </c>
      <c r="AF125" s="45">
        <f>IF(AQ125="2",BH125,0)</f>
      </c>
      <c r="AG125" s="45">
        <f>IF(AQ125="2",BI125,0)</f>
      </c>
      <c r="AH125" s="45">
        <f>IF(AQ125="0",BJ125,0)</f>
      </c>
      <c r="AI125" s="28" t="s">
        <v>45</v>
      </c>
      <c r="AJ125" s="45">
        <f>IF(AN125=0,J125,0)</f>
      </c>
      <c r="AK125" s="45">
        <f>IF(AN125=12,J125,0)</f>
      </c>
      <c r="AL125" s="45">
        <f>IF(AN125=21,J125,0)</f>
      </c>
      <c r="AN125" s="45" t="n">
        <v>12</v>
      </c>
      <c r="AO125" s="45">
        <f>G125*0.895503268</f>
      </c>
      <c r="AP125" s="45">
        <f>G125*(1-0.895503268)</f>
      </c>
      <c r="AQ125" s="47" t="s">
        <v>53</v>
      </c>
      <c r="AV125" s="45">
        <f>AW125+AX125</f>
      </c>
      <c r="AW125" s="45">
        <f>F125*AO125</f>
      </c>
      <c r="AX125" s="45">
        <f>F125*AP125</f>
      </c>
      <c r="AY125" s="47" t="s">
        <v>320</v>
      </c>
      <c r="AZ125" s="47" t="s">
        <v>55</v>
      </c>
      <c r="BA125" s="28" t="s">
        <v>56</v>
      </c>
      <c r="BC125" s="45">
        <f>AW125+AX125</f>
      </c>
      <c r="BD125" s="45">
        <f>G125/(100-BE125)*100</f>
      </c>
      <c r="BE125" s="45" t="n">
        <v>0</v>
      </c>
      <c r="BF125" s="45">
        <f>125</f>
      </c>
      <c r="BH125" s="45">
        <f>F125*AO125</f>
      </c>
      <c r="BI125" s="45">
        <f>F125*AP125</f>
      </c>
      <c r="BJ125" s="45">
        <f>F125*G125</f>
      </c>
      <c r="BK125" s="45"/>
      <c r="BL125" s="45" t="n">
        <v>725</v>
      </c>
      <c r="BW125" s="45" t="n">
        <v>12</v>
      </c>
      <c r="BX125" s="14" t="s">
        <v>354</v>
      </c>
    </row>
    <row r="126" customHeight="true" ht="13.5">
      <c r="A126" s="48"/>
      <c r="B126" s="49" t="s">
        <v>119</v>
      </c>
      <c r="C126" s="50" t="s">
        <v>355</v>
      </c>
      <c r="D126" s="51"/>
      <c r="E126" s="51"/>
      <c r="F126" s="51"/>
      <c r="G126" s="51"/>
      <c r="H126" s="51"/>
      <c r="I126" s="51"/>
      <c r="J126" s="51"/>
      <c r="K126" s="52"/>
    </row>
    <row r="127">
      <c r="A127" s="9" t="s">
        <v>356</v>
      </c>
      <c r="B127" s="10" t="s">
        <v>357</v>
      </c>
      <c r="C127" s="14" t="s">
        <v>358</v>
      </c>
      <c r="D127" s="10"/>
      <c r="E127" s="10" t="s">
        <v>111</v>
      </c>
      <c r="F127" s="45" t="n">
        <v>3</v>
      </c>
      <c r="G127" s="45" t="n">
        <v>0</v>
      </c>
      <c r="H127" s="45">
        <f>F127*AO127</f>
      </c>
      <c r="I127" s="45">
        <f>F127*AP127</f>
      </c>
      <c r="J127" s="45">
        <f>F127*G127</f>
      </c>
      <c r="K127" s="46" t="s">
        <v>52</v>
      </c>
      <c r="Z127" s="45">
        <f>IF(AQ127="5",BJ127,0)</f>
      </c>
      <c r="AB127" s="45">
        <f>IF(AQ127="1",BH127,0)</f>
      </c>
      <c r="AC127" s="45">
        <f>IF(AQ127="1",BI127,0)</f>
      </c>
      <c r="AD127" s="45">
        <f>IF(AQ127="7",BH127,0)</f>
      </c>
      <c r="AE127" s="45">
        <f>IF(AQ127="7",BI127,0)</f>
      </c>
      <c r="AF127" s="45">
        <f>IF(AQ127="2",BH127,0)</f>
      </c>
      <c r="AG127" s="45">
        <f>IF(AQ127="2",BI127,0)</f>
      </c>
      <c r="AH127" s="45">
        <f>IF(AQ127="0",BJ127,0)</f>
      </c>
      <c r="AI127" s="28" t="s">
        <v>45</v>
      </c>
      <c r="AJ127" s="45">
        <f>IF(AN127=0,J127,0)</f>
      </c>
      <c r="AK127" s="45">
        <f>IF(AN127=12,J127,0)</f>
      </c>
      <c r="AL127" s="45">
        <f>IF(AN127=21,J127,0)</f>
      </c>
      <c r="AN127" s="45" t="n">
        <v>12</v>
      </c>
      <c r="AO127" s="45">
        <f>G127*0.804676164</f>
      </c>
      <c r="AP127" s="45">
        <f>G127*(1-0.804676164)</f>
      </c>
      <c r="AQ127" s="47" t="s">
        <v>53</v>
      </c>
      <c r="AV127" s="45">
        <f>AW127+AX127</f>
      </c>
      <c r="AW127" s="45">
        <f>F127*AO127</f>
      </c>
      <c r="AX127" s="45">
        <f>F127*AP127</f>
      </c>
      <c r="AY127" s="47" t="s">
        <v>320</v>
      </c>
      <c r="AZ127" s="47" t="s">
        <v>55</v>
      </c>
      <c r="BA127" s="28" t="s">
        <v>56</v>
      </c>
      <c r="BC127" s="45">
        <f>AW127+AX127</f>
      </c>
      <c r="BD127" s="45">
        <f>G127/(100-BE127)*100</f>
      </c>
      <c r="BE127" s="45" t="n">
        <v>0</v>
      </c>
      <c r="BF127" s="45">
        <f>127</f>
      </c>
      <c r="BH127" s="45">
        <f>F127*AO127</f>
      </c>
      <c r="BI127" s="45">
        <f>F127*AP127</f>
      </c>
      <c r="BJ127" s="45">
        <f>F127*G127</f>
      </c>
      <c r="BK127" s="45"/>
      <c r="BL127" s="45" t="n">
        <v>725</v>
      </c>
      <c r="BW127" s="45" t="n">
        <v>12</v>
      </c>
      <c r="BX127" s="14" t="s">
        <v>358</v>
      </c>
    </row>
    <row r="128" customHeight="true" ht="13.5">
      <c r="A128" s="48"/>
      <c r="B128" s="49" t="s">
        <v>119</v>
      </c>
      <c r="C128" s="50" t="s">
        <v>359</v>
      </c>
      <c r="D128" s="51"/>
      <c r="E128" s="51"/>
      <c r="F128" s="51"/>
      <c r="G128" s="51"/>
      <c r="H128" s="51"/>
      <c r="I128" s="51"/>
      <c r="J128" s="51"/>
      <c r="K128" s="52"/>
    </row>
    <row r="129">
      <c r="A129" s="9" t="s">
        <v>360</v>
      </c>
      <c r="B129" s="10" t="s">
        <v>361</v>
      </c>
      <c r="C129" s="14" t="s">
        <v>362</v>
      </c>
      <c r="D129" s="10"/>
      <c r="E129" s="10" t="s">
        <v>111</v>
      </c>
      <c r="F129" s="45" t="n">
        <v>28</v>
      </c>
      <c r="G129" s="45" t="n">
        <v>0</v>
      </c>
      <c r="H129" s="45">
        <f>F129*AO129</f>
      </c>
      <c r="I129" s="45">
        <f>F129*AP129</f>
      </c>
      <c r="J129" s="45">
        <f>F129*G129</f>
      </c>
      <c r="K129" s="46" t="s">
        <v>52</v>
      </c>
      <c r="Z129" s="45">
        <f>IF(AQ129="5",BJ129,0)</f>
      </c>
      <c r="AB129" s="45">
        <f>IF(AQ129="1",BH129,0)</f>
      </c>
      <c r="AC129" s="45">
        <f>IF(AQ129="1",BI129,0)</f>
      </c>
      <c r="AD129" s="45">
        <f>IF(AQ129="7",BH129,0)</f>
      </c>
      <c r="AE129" s="45">
        <f>IF(AQ129="7",BI129,0)</f>
      </c>
      <c r="AF129" s="45">
        <f>IF(AQ129="2",BH129,0)</f>
      </c>
      <c r="AG129" s="45">
        <f>IF(AQ129="2",BI129,0)</f>
      </c>
      <c r="AH129" s="45">
        <f>IF(AQ129="0",BJ129,0)</f>
      </c>
      <c r="AI129" s="28" t="s">
        <v>45</v>
      </c>
      <c r="AJ129" s="45">
        <f>IF(AN129=0,J129,0)</f>
      </c>
      <c r="AK129" s="45">
        <f>IF(AN129=12,J129,0)</f>
      </c>
      <c r="AL129" s="45">
        <f>IF(AN129=21,J129,0)</f>
      </c>
      <c r="AN129" s="45" t="n">
        <v>12</v>
      </c>
      <c r="AO129" s="45">
        <f>G129*0.033924382</f>
      </c>
      <c r="AP129" s="45">
        <f>G129*(1-0.033924382)</f>
      </c>
      <c r="AQ129" s="47" t="s">
        <v>53</v>
      </c>
      <c r="AV129" s="45">
        <f>AW129+AX129</f>
      </c>
      <c r="AW129" s="45">
        <f>F129*AO129</f>
      </c>
      <c r="AX129" s="45">
        <f>F129*AP129</f>
      </c>
      <c r="AY129" s="47" t="s">
        <v>320</v>
      </c>
      <c r="AZ129" s="47" t="s">
        <v>55</v>
      </c>
      <c r="BA129" s="28" t="s">
        <v>56</v>
      </c>
      <c r="BC129" s="45">
        <f>AW129+AX129</f>
      </c>
      <c r="BD129" s="45">
        <f>G129/(100-BE129)*100</f>
      </c>
      <c r="BE129" s="45" t="n">
        <v>0</v>
      </c>
      <c r="BF129" s="45">
        <f>129</f>
      </c>
      <c r="BH129" s="45">
        <f>F129*AO129</f>
      </c>
      <c r="BI129" s="45">
        <f>F129*AP129</f>
      </c>
      <c r="BJ129" s="45">
        <f>F129*G129</f>
      </c>
      <c r="BK129" s="45"/>
      <c r="BL129" s="45" t="n">
        <v>725</v>
      </c>
      <c r="BW129" s="45" t="n">
        <v>12</v>
      </c>
      <c r="BX129" s="14" t="s">
        <v>362</v>
      </c>
    </row>
    <row r="130">
      <c r="A130" s="9" t="s">
        <v>363</v>
      </c>
      <c r="B130" s="10" t="s">
        <v>364</v>
      </c>
      <c r="C130" s="14" t="s">
        <v>365</v>
      </c>
      <c r="D130" s="10"/>
      <c r="E130" s="10" t="s">
        <v>111</v>
      </c>
      <c r="F130" s="45" t="n">
        <v>28</v>
      </c>
      <c r="G130" s="45" t="n">
        <v>0</v>
      </c>
      <c r="H130" s="45">
        <f>F130*AO130</f>
      </c>
      <c r="I130" s="45">
        <f>F130*AP130</f>
      </c>
      <c r="J130" s="45">
        <f>F130*G130</f>
      </c>
      <c r="K130" s="46" t="s">
        <v>52</v>
      </c>
      <c r="Z130" s="45">
        <f>IF(AQ130="5",BJ130,0)</f>
      </c>
      <c r="AB130" s="45">
        <f>IF(AQ130="1",BH130,0)</f>
      </c>
      <c r="AC130" s="45">
        <f>IF(AQ130="1",BI130,0)</f>
      </c>
      <c r="AD130" s="45">
        <f>IF(AQ130="7",BH130,0)</f>
      </c>
      <c r="AE130" s="45">
        <f>IF(AQ130="7",BI130,0)</f>
      </c>
      <c r="AF130" s="45">
        <f>IF(AQ130="2",BH130,0)</f>
      </c>
      <c r="AG130" s="45">
        <f>IF(AQ130="2",BI130,0)</f>
      </c>
      <c r="AH130" s="45">
        <f>IF(AQ130="0",BJ130,0)</f>
      </c>
      <c r="AI130" s="28" t="s">
        <v>45</v>
      </c>
      <c r="AJ130" s="45">
        <f>IF(AN130=0,J130,0)</f>
      </c>
      <c r="AK130" s="45">
        <f>IF(AN130=12,J130,0)</f>
      </c>
      <c r="AL130" s="45">
        <f>IF(AN130=21,J130,0)</f>
      </c>
      <c r="AN130" s="45" t="n">
        <v>12</v>
      </c>
      <c r="AO130" s="45">
        <f>G130*0.870093721</f>
      </c>
      <c r="AP130" s="45">
        <f>G130*(1-0.870093721)</f>
      </c>
      <c r="AQ130" s="47" t="s">
        <v>53</v>
      </c>
      <c r="AV130" s="45">
        <f>AW130+AX130</f>
      </c>
      <c r="AW130" s="45">
        <f>F130*AO130</f>
      </c>
      <c r="AX130" s="45">
        <f>F130*AP130</f>
      </c>
      <c r="AY130" s="47" t="s">
        <v>320</v>
      </c>
      <c r="AZ130" s="47" t="s">
        <v>55</v>
      </c>
      <c r="BA130" s="28" t="s">
        <v>56</v>
      </c>
      <c r="BC130" s="45">
        <f>AW130+AX130</f>
      </c>
      <c r="BD130" s="45">
        <f>G130/(100-BE130)*100</f>
      </c>
      <c r="BE130" s="45" t="n">
        <v>0</v>
      </c>
      <c r="BF130" s="45">
        <f>130</f>
      </c>
      <c r="BH130" s="45">
        <f>F130*AO130</f>
      </c>
      <c r="BI130" s="45">
        <f>F130*AP130</f>
      </c>
      <c r="BJ130" s="45">
        <f>F130*G130</f>
      </c>
      <c r="BK130" s="45"/>
      <c r="BL130" s="45" t="n">
        <v>725</v>
      </c>
      <c r="BW130" s="45" t="n">
        <v>12</v>
      </c>
      <c r="BX130" s="14" t="s">
        <v>365</v>
      </c>
    </row>
    <row r="131">
      <c r="A131" s="9" t="s">
        <v>366</v>
      </c>
      <c r="B131" s="10" t="s">
        <v>367</v>
      </c>
      <c r="C131" s="14" t="s">
        <v>368</v>
      </c>
      <c r="D131" s="10"/>
      <c r="E131" s="10" t="s">
        <v>319</v>
      </c>
      <c r="F131" s="45" t="n">
        <v>28</v>
      </c>
      <c r="G131" s="45" t="n">
        <v>0</v>
      </c>
      <c r="H131" s="45">
        <f>F131*AO131</f>
      </c>
      <c r="I131" s="45">
        <f>F131*AP131</f>
      </c>
      <c r="J131" s="45">
        <f>F131*G131</f>
      </c>
      <c r="K131" s="46" t="s">
        <v>52</v>
      </c>
      <c r="Z131" s="45">
        <f>IF(AQ131="5",BJ131,0)</f>
      </c>
      <c r="AB131" s="45">
        <f>IF(AQ131="1",BH131,0)</f>
      </c>
      <c r="AC131" s="45">
        <f>IF(AQ131="1",BI131,0)</f>
      </c>
      <c r="AD131" s="45">
        <f>IF(AQ131="7",BH131,0)</f>
      </c>
      <c r="AE131" s="45">
        <f>IF(AQ131="7",BI131,0)</f>
      </c>
      <c r="AF131" s="45">
        <f>IF(AQ131="2",BH131,0)</f>
      </c>
      <c r="AG131" s="45">
        <f>IF(AQ131="2",BI131,0)</f>
      </c>
      <c r="AH131" s="45">
        <f>IF(AQ131="0",BJ131,0)</f>
      </c>
      <c r="AI131" s="28" t="s">
        <v>45</v>
      </c>
      <c r="AJ131" s="45">
        <f>IF(AN131=0,J131,0)</f>
      </c>
      <c r="AK131" s="45">
        <f>IF(AN131=12,J131,0)</f>
      </c>
      <c r="AL131" s="45">
        <f>IF(AN131=21,J131,0)</f>
      </c>
      <c r="AN131" s="45" t="n">
        <v>12</v>
      </c>
      <c r="AO131" s="45">
        <f>G131*0.15896197</f>
      </c>
      <c r="AP131" s="45">
        <f>G131*(1-0.15896197)</f>
      </c>
      <c r="AQ131" s="47" t="s">
        <v>53</v>
      </c>
      <c r="AV131" s="45">
        <f>AW131+AX131</f>
      </c>
      <c r="AW131" s="45">
        <f>F131*AO131</f>
      </c>
      <c r="AX131" s="45">
        <f>F131*AP131</f>
      </c>
      <c r="AY131" s="47" t="s">
        <v>320</v>
      </c>
      <c r="AZ131" s="47" t="s">
        <v>55</v>
      </c>
      <c r="BA131" s="28" t="s">
        <v>56</v>
      </c>
      <c r="BC131" s="45">
        <f>AW131+AX131</f>
      </c>
      <c r="BD131" s="45">
        <f>G131/(100-BE131)*100</f>
      </c>
      <c r="BE131" s="45" t="n">
        <v>0</v>
      </c>
      <c r="BF131" s="45">
        <f>131</f>
      </c>
      <c r="BH131" s="45">
        <f>F131*AO131</f>
      </c>
      <c r="BI131" s="45">
        <f>F131*AP131</f>
      </c>
      <c r="BJ131" s="45">
        <f>F131*G131</f>
      </c>
      <c r="BK131" s="45"/>
      <c r="BL131" s="45" t="n">
        <v>725</v>
      </c>
      <c r="BW131" s="45" t="n">
        <v>12</v>
      </c>
      <c r="BX131" s="14" t="s">
        <v>368</v>
      </c>
    </row>
    <row r="132">
      <c r="A132" s="9" t="s">
        <v>369</v>
      </c>
      <c r="B132" s="10" t="s">
        <v>370</v>
      </c>
      <c r="C132" s="14" t="s">
        <v>371</v>
      </c>
      <c r="D132" s="10"/>
      <c r="E132" s="10" t="s">
        <v>111</v>
      </c>
      <c r="F132" s="45" t="n">
        <v>13</v>
      </c>
      <c r="G132" s="45" t="n">
        <v>0</v>
      </c>
      <c r="H132" s="45">
        <f>F132*AO132</f>
      </c>
      <c r="I132" s="45">
        <f>F132*AP132</f>
      </c>
      <c r="J132" s="45">
        <f>F132*G132</f>
      </c>
      <c r="K132" s="46" t="s">
        <v>52</v>
      </c>
      <c r="Z132" s="45">
        <f>IF(AQ132="5",BJ132,0)</f>
      </c>
      <c r="AB132" s="45">
        <f>IF(AQ132="1",BH132,0)</f>
      </c>
      <c r="AC132" s="45">
        <f>IF(AQ132="1",BI132,0)</f>
      </c>
      <c r="AD132" s="45">
        <f>IF(AQ132="7",BH132,0)</f>
      </c>
      <c r="AE132" s="45">
        <f>IF(AQ132="7",BI132,0)</f>
      </c>
      <c r="AF132" s="45">
        <f>IF(AQ132="2",BH132,0)</f>
      </c>
      <c r="AG132" s="45">
        <f>IF(AQ132="2",BI132,0)</f>
      </c>
      <c r="AH132" s="45">
        <f>IF(AQ132="0",BJ132,0)</f>
      </c>
      <c r="AI132" s="28" t="s">
        <v>45</v>
      </c>
      <c r="AJ132" s="45">
        <f>IF(AN132=0,J132,0)</f>
      </c>
      <c r="AK132" s="45">
        <f>IF(AN132=12,J132,0)</f>
      </c>
      <c r="AL132" s="45">
        <f>IF(AN132=21,J132,0)</f>
      </c>
      <c r="AN132" s="45" t="n">
        <v>12</v>
      </c>
      <c r="AO132" s="45">
        <f>G132*0.755106007</f>
      </c>
      <c r="AP132" s="45">
        <f>G132*(1-0.755106007)</f>
      </c>
      <c r="AQ132" s="47" t="s">
        <v>53</v>
      </c>
      <c r="AV132" s="45">
        <f>AW132+AX132</f>
      </c>
      <c r="AW132" s="45">
        <f>F132*AO132</f>
      </c>
      <c r="AX132" s="45">
        <f>F132*AP132</f>
      </c>
      <c r="AY132" s="47" t="s">
        <v>320</v>
      </c>
      <c r="AZ132" s="47" t="s">
        <v>55</v>
      </c>
      <c r="BA132" s="28" t="s">
        <v>56</v>
      </c>
      <c r="BC132" s="45">
        <f>AW132+AX132</f>
      </c>
      <c r="BD132" s="45">
        <f>G132/(100-BE132)*100</f>
      </c>
      <c r="BE132" s="45" t="n">
        <v>0</v>
      </c>
      <c r="BF132" s="45">
        <f>132</f>
      </c>
      <c r="BH132" s="45">
        <f>F132*AO132</f>
      </c>
      <c r="BI132" s="45">
        <f>F132*AP132</f>
      </c>
      <c r="BJ132" s="45">
        <f>F132*G132</f>
      </c>
      <c r="BK132" s="45"/>
      <c r="BL132" s="45" t="n">
        <v>725</v>
      </c>
      <c r="BW132" s="45" t="n">
        <v>12</v>
      </c>
      <c r="BX132" s="14" t="s">
        <v>371</v>
      </c>
    </row>
    <row r="133">
      <c r="A133" s="9" t="s">
        <v>372</v>
      </c>
      <c r="B133" s="10" t="s">
        <v>357</v>
      </c>
      <c r="C133" s="14" t="s">
        <v>373</v>
      </c>
      <c r="D133" s="10"/>
      <c r="E133" s="10" t="s">
        <v>111</v>
      </c>
      <c r="F133" s="45" t="n">
        <v>13</v>
      </c>
      <c r="G133" s="45" t="n">
        <v>0</v>
      </c>
      <c r="H133" s="45">
        <f>F133*AO133</f>
      </c>
      <c r="I133" s="45">
        <f>F133*AP133</f>
      </c>
      <c r="J133" s="45">
        <f>F133*G133</f>
      </c>
      <c r="K133" s="46" t="s">
        <v>52</v>
      </c>
      <c r="Z133" s="45">
        <f>IF(AQ133="5",BJ133,0)</f>
      </c>
      <c r="AB133" s="45">
        <f>IF(AQ133="1",BH133,0)</f>
      </c>
      <c r="AC133" s="45">
        <f>IF(AQ133="1",BI133,0)</f>
      </c>
      <c r="AD133" s="45">
        <f>IF(AQ133="7",BH133,0)</f>
      </c>
      <c r="AE133" s="45">
        <f>IF(AQ133="7",BI133,0)</f>
      </c>
      <c r="AF133" s="45">
        <f>IF(AQ133="2",BH133,0)</f>
      </c>
      <c r="AG133" s="45">
        <f>IF(AQ133="2",BI133,0)</f>
      </c>
      <c r="AH133" s="45">
        <f>IF(AQ133="0",BJ133,0)</f>
      </c>
      <c r="AI133" s="28" t="s">
        <v>45</v>
      </c>
      <c r="AJ133" s="45">
        <f>IF(AN133=0,J133,0)</f>
      </c>
      <c r="AK133" s="45">
        <f>IF(AN133=12,J133,0)</f>
      </c>
      <c r="AL133" s="45">
        <f>IF(AN133=21,J133,0)</f>
      </c>
      <c r="AN133" s="45" t="n">
        <v>12</v>
      </c>
      <c r="AO133" s="45">
        <f>G133*0.804676164</f>
      </c>
      <c r="AP133" s="45">
        <f>G133*(1-0.804676164)</f>
      </c>
      <c r="AQ133" s="47" t="s">
        <v>53</v>
      </c>
      <c r="AV133" s="45">
        <f>AW133+AX133</f>
      </c>
      <c r="AW133" s="45">
        <f>F133*AO133</f>
      </c>
      <c r="AX133" s="45">
        <f>F133*AP133</f>
      </c>
      <c r="AY133" s="47" t="s">
        <v>320</v>
      </c>
      <c r="AZ133" s="47" t="s">
        <v>55</v>
      </c>
      <c r="BA133" s="28" t="s">
        <v>56</v>
      </c>
      <c r="BC133" s="45">
        <f>AW133+AX133</f>
      </c>
      <c r="BD133" s="45">
        <f>G133/(100-BE133)*100</f>
      </c>
      <c r="BE133" s="45" t="n">
        <v>0</v>
      </c>
      <c r="BF133" s="45">
        <f>133</f>
      </c>
      <c r="BH133" s="45">
        <f>F133*AO133</f>
      </c>
      <c r="BI133" s="45">
        <f>F133*AP133</f>
      </c>
      <c r="BJ133" s="45">
        <f>F133*G133</f>
      </c>
      <c r="BK133" s="45"/>
      <c r="BL133" s="45" t="n">
        <v>725</v>
      </c>
      <c r="BW133" s="45" t="n">
        <v>12</v>
      </c>
      <c r="BX133" s="14" t="s">
        <v>373</v>
      </c>
    </row>
    <row r="134" customHeight="true" ht="13.5">
      <c r="A134" s="48"/>
      <c r="B134" s="49" t="s">
        <v>119</v>
      </c>
      <c r="C134" s="50" t="s">
        <v>374</v>
      </c>
      <c r="D134" s="51"/>
      <c r="E134" s="51"/>
      <c r="F134" s="51"/>
      <c r="G134" s="51"/>
      <c r="H134" s="51"/>
      <c r="I134" s="51"/>
      <c r="J134" s="51"/>
      <c r="K134" s="52"/>
    </row>
    <row r="135">
      <c r="A135" s="9" t="s">
        <v>375</v>
      </c>
      <c r="B135" s="10" t="s">
        <v>361</v>
      </c>
      <c r="C135" s="14" t="s">
        <v>362</v>
      </c>
      <c r="D135" s="10"/>
      <c r="E135" s="10" t="s">
        <v>111</v>
      </c>
      <c r="F135" s="45" t="n">
        <v>13</v>
      </c>
      <c r="G135" s="45" t="n">
        <v>0</v>
      </c>
      <c r="H135" s="45">
        <f>F135*AO135</f>
      </c>
      <c r="I135" s="45">
        <f>F135*AP135</f>
      </c>
      <c r="J135" s="45">
        <f>F135*G135</f>
      </c>
      <c r="K135" s="46" t="s">
        <v>52</v>
      </c>
      <c r="Z135" s="45">
        <f>IF(AQ135="5",BJ135,0)</f>
      </c>
      <c r="AB135" s="45">
        <f>IF(AQ135="1",BH135,0)</f>
      </c>
      <c r="AC135" s="45">
        <f>IF(AQ135="1",BI135,0)</f>
      </c>
      <c r="AD135" s="45">
        <f>IF(AQ135="7",BH135,0)</f>
      </c>
      <c r="AE135" s="45">
        <f>IF(AQ135="7",BI135,0)</f>
      </c>
      <c r="AF135" s="45">
        <f>IF(AQ135="2",BH135,0)</f>
      </c>
      <c r="AG135" s="45">
        <f>IF(AQ135="2",BI135,0)</f>
      </c>
      <c r="AH135" s="45">
        <f>IF(AQ135="0",BJ135,0)</f>
      </c>
      <c r="AI135" s="28" t="s">
        <v>45</v>
      </c>
      <c r="AJ135" s="45">
        <f>IF(AN135=0,J135,0)</f>
      </c>
      <c r="AK135" s="45">
        <f>IF(AN135=12,J135,0)</f>
      </c>
      <c r="AL135" s="45">
        <f>IF(AN135=21,J135,0)</f>
      </c>
      <c r="AN135" s="45" t="n">
        <v>12</v>
      </c>
      <c r="AO135" s="45">
        <f>G135*0.033924382</f>
      </c>
      <c r="AP135" s="45">
        <f>G135*(1-0.033924382)</f>
      </c>
      <c r="AQ135" s="47" t="s">
        <v>53</v>
      </c>
      <c r="AV135" s="45">
        <f>AW135+AX135</f>
      </c>
      <c r="AW135" s="45">
        <f>F135*AO135</f>
      </c>
      <c r="AX135" s="45">
        <f>F135*AP135</f>
      </c>
      <c r="AY135" s="47" t="s">
        <v>320</v>
      </c>
      <c r="AZ135" s="47" t="s">
        <v>55</v>
      </c>
      <c r="BA135" s="28" t="s">
        <v>56</v>
      </c>
      <c r="BC135" s="45">
        <f>AW135+AX135</f>
      </c>
      <c r="BD135" s="45">
        <f>G135/(100-BE135)*100</f>
      </c>
      <c r="BE135" s="45" t="n">
        <v>0</v>
      </c>
      <c r="BF135" s="45">
        <f>135</f>
      </c>
      <c r="BH135" s="45">
        <f>F135*AO135</f>
      </c>
      <c r="BI135" s="45">
        <f>F135*AP135</f>
      </c>
      <c r="BJ135" s="45">
        <f>F135*G135</f>
      </c>
      <c r="BK135" s="45"/>
      <c r="BL135" s="45" t="n">
        <v>725</v>
      </c>
      <c r="BW135" s="45" t="n">
        <v>12</v>
      </c>
      <c r="BX135" s="14" t="s">
        <v>362</v>
      </c>
    </row>
    <row r="136">
      <c r="A136" s="9" t="s">
        <v>376</v>
      </c>
      <c r="B136" s="10" t="s">
        <v>377</v>
      </c>
      <c r="C136" s="14" t="s">
        <v>378</v>
      </c>
      <c r="D136" s="10"/>
      <c r="E136" s="10" t="s">
        <v>319</v>
      </c>
      <c r="F136" s="45" t="n">
        <v>13</v>
      </c>
      <c r="G136" s="45" t="n">
        <v>0</v>
      </c>
      <c r="H136" s="45">
        <f>F136*AO136</f>
      </c>
      <c r="I136" s="45">
        <f>F136*AP136</f>
      </c>
      <c r="J136" s="45">
        <f>F136*G136</f>
      </c>
      <c r="K136" s="46" t="s">
        <v>52</v>
      </c>
      <c r="Z136" s="45">
        <f>IF(AQ136="5",BJ136,0)</f>
      </c>
      <c r="AB136" s="45">
        <f>IF(AQ136="1",BH136,0)</f>
      </c>
      <c r="AC136" s="45">
        <f>IF(AQ136="1",BI136,0)</f>
      </c>
      <c r="AD136" s="45">
        <f>IF(AQ136="7",BH136,0)</f>
      </c>
      <c r="AE136" s="45">
        <f>IF(AQ136="7",BI136,0)</f>
      </c>
      <c r="AF136" s="45">
        <f>IF(AQ136="2",BH136,0)</f>
      </c>
      <c r="AG136" s="45">
        <f>IF(AQ136="2",BI136,0)</f>
      </c>
      <c r="AH136" s="45">
        <f>IF(AQ136="0",BJ136,0)</f>
      </c>
      <c r="AI136" s="28" t="s">
        <v>45</v>
      </c>
      <c r="AJ136" s="45">
        <f>IF(AN136=0,J136,0)</f>
      </c>
      <c r="AK136" s="45">
        <f>IF(AN136=12,J136,0)</f>
      </c>
      <c r="AL136" s="45">
        <f>IF(AN136=21,J136,0)</f>
      </c>
      <c r="AN136" s="45" t="n">
        <v>12</v>
      </c>
      <c r="AO136" s="45">
        <f>G136*0.70303125</f>
      </c>
      <c r="AP136" s="45">
        <f>G136*(1-0.70303125)</f>
      </c>
      <c r="AQ136" s="47" t="s">
        <v>53</v>
      </c>
      <c r="AV136" s="45">
        <f>AW136+AX136</f>
      </c>
      <c r="AW136" s="45">
        <f>F136*AO136</f>
      </c>
      <c r="AX136" s="45">
        <f>F136*AP136</f>
      </c>
      <c r="AY136" s="47" t="s">
        <v>320</v>
      </c>
      <c r="AZ136" s="47" t="s">
        <v>55</v>
      </c>
      <c r="BA136" s="28" t="s">
        <v>56</v>
      </c>
      <c r="BC136" s="45">
        <f>AW136+AX136</f>
      </c>
      <c r="BD136" s="45">
        <f>G136/(100-BE136)*100</f>
      </c>
      <c r="BE136" s="45" t="n">
        <v>0</v>
      </c>
      <c r="BF136" s="45">
        <f>136</f>
      </c>
      <c r="BH136" s="45">
        <f>F136*AO136</f>
      </c>
      <c r="BI136" s="45">
        <f>F136*AP136</f>
      </c>
      <c r="BJ136" s="45">
        <f>F136*G136</f>
      </c>
      <c r="BK136" s="45"/>
      <c r="BL136" s="45" t="n">
        <v>725</v>
      </c>
      <c r="BW136" s="45" t="n">
        <v>12</v>
      </c>
      <c r="BX136" s="14" t="s">
        <v>378</v>
      </c>
    </row>
    <row r="137" customHeight="true" ht="13.5">
      <c r="A137" s="48"/>
      <c r="B137" s="49" t="s">
        <v>119</v>
      </c>
      <c r="C137" s="50" t="s">
        <v>379</v>
      </c>
      <c r="D137" s="51"/>
      <c r="E137" s="51"/>
      <c r="F137" s="51"/>
      <c r="G137" s="51"/>
      <c r="H137" s="51"/>
      <c r="I137" s="51"/>
      <c r="J137" s="51"/>
      <c r="K137" s="52"/>
    </row>
    <row r="138">
      <c r="A138" s="9" t="s">
        <v>380</v>
      </c>
      <c r="B138" s="10" t="s">
        <v>381</v>
      </c>
      <c r="C138" s="14" t="s">
        <v>382</v>
      </c>
      <c r="D138" s="10"/>
      <c r="E138" s="10" t="s">
        <v>124</v>
      </c>
      <c r="F138" s="45" t="n">
        <v>3</v>
      </c>
      <c r="G138" s="45" t="n">
        <v>0</v>
      </c>
      <c r="H138" s="45">
        <f>F138*AO138</f>
      </c>
      <c r="I138" s="45">
        <f>F138*AP138</f>
      </c>
      <c r="J138" s="45">
        <f>F138*G138</f>
      </c>
      <c r="K138" s="46" t="s">
        <v>45</v>
      </c>
      <c r="Z138" s="45">
        <f>IF(AQ138="5",BJ138,0)</f>
      </c>
      <c r="AB138" s="45">
        <f>IF(AQ138="1",BH138,0)</f>
      </c>
      <c r="AC138" s="45">
        <f>IF(AQ138="1",BI138,0)</f>
      </c>
      <c r="AD138" s="45">
        <f>IF(AQ138="7",BH138,0)</f>
      </c>
      <c r="AE138" s="45">
        <f>IF(AQ138="7",BI138,0)</f>
      </c>
      <c r="AF138" s="45">
        <f>IF(AQ138="2",BH138,0)</f>
      </c>
      <c r="AG138" s="45">
        <f>IF(AQ138="2",BI138,0)</f>
      </c>
      <c r="AH138" s="45">
        <f>IF(AQ138="0",BJ138,0)</f>
      </c>
      <c r="AI138" s="28" t="s">
        <v>45</v>
      </c>
      <c r="AJ138" s="45">
        <f>IF(AN138=0,J138,0)</f>
      </c>
      <c r="AK138" s="45">
        <f>IF(AN138=12,J138,0)</f>
      </c>
      <c r="AL138" s="45">
        <f>IF(AN138=21,J138,0)</f>
      </c>
      <c r="AN138" s="45" t="n">
        <v>12</v>
      </c>
      <c r="AO138" s="45">
        <f>G138*0.909836066</f>
      </c>
      <c r="AP138" s="45">
        <f>G138*(1-0.909836066)</f>
      </c>
      <c r="AQ138" s="47" t="s">
        <v>53</v>
      </c>
      <c r="AV138" s="45">
        <f>AW138+AX138</f>
      </c>
      <c r="AW138" s="45">
        <f>F138*AO138</f>
      </c>
      <c r="AX138" s="45">
        <f>F138*AP138</f>
      </c>
      <c r="AY138" s="47" t="s">
        <v>320</v>
      </c>
      <c r="AZ138" s="47" t="s">
        <v>55</v>
      </c>
      <c r="BA138" s="28" t="s">
        <v>56</v>
      </c>
      <c r="BC138" s="45">
        <f>AW138+AX138</f>
      </c>
      <c r="BD138" s="45">
        <f>G138/(100-BE138)*100</f>
      </c>
      <c r="BE138" s="45" t="n">
        <v>0</v>
      </c>
      <c r="BF138" s="45">
        <f>138</f>
      </c>
      <c r="BH138" s="45">
        <f>F138*AO138</f>
      </c>
      <c r="BI138" s="45">
        <f>F138*AP138</f>
      </c>
      <c r="BJ138" s="45">
        <f>F138*G138</f>
      </c>
      <c r="BK138" s="45"/>
      <c r="BL138" s="45" t="n">
        <v>725</v>
      </c>
      <c r="BW138" s="45" t="n">
        <v>12</v>
      </c>
      <c r="BX138" s="14" t="s">
        <v>382</v>
      </c>
    </row>
    <row r="139" customHeight="true" ht="81">
      <c r="A139" s="48"/>
      <c r="B139" s="49" t="s">
        <v>119</v>
      </c>
      <c r="C139" s="50" t="s">
        <v>383</v>
      </c>
      <c r="D139" s="51"/>
      <c r="E139" s="51"/>
      <c r="F139" s="51"/>
      <c r="G139" s="51"/>
      <c r="H139" s="51"/>
      <c r="I139" s="51"/>
      <c r="J139" s="51"/>
      <c r="K139" s="52"/>
    </row>
    <row r="140">
      <c r="A140" s="9" t="s">
        <v>384</v>
      </c>
      <c r="B140" s="10" t="s">
        <v>385</v>
      </c>
      <c r="C140" s="14" t="s">
        <v>386</v>
      </c>
      <c r="D140" s="10"/>
      <c r="E140" s="10" t="s">
        <v>319</v>
      </c>
      <c r="F140" s="45" t="n">
        <v>3</v>
      </c>
      <c r="G140" s="45" t="n">
        <v>0</v>
      </c>
      <c r="H140" s="45">
        <f>F140*AO140</f>
      </c>
      <c r="I140" s="45">
        <f>F140*AP140</f>
      </c>
      <c r="J140" s="45">
        <f>F140*G140</f>
      </c>
      <c r="K140" s="46" t="s">
        <v>52</v>
      </c>
      <c r="Z140" s="45">
        <f>IF(AQ140="5",BJ140,0)</f>
      </c>
      <c r="AB140" s="45">
        <f>IF(AQ140="1",BH140,0)</f>
      </c>
      <c r="AC140" s="45">
        <f>IF(AQ140="1",BI140,0)</f>
      </c>
      <c r="AD140" s="45">
        <f>IF(AQ140="7",BH140,0)</f>
      </c>
      <c r="AE140" s="45">
        <f>IF(AQ140="7",BI140,0)</f>
      </c>
      <c r="AF140" s="45">
        <f>IF(AQ140="2",BH140,0)</f>
      </c>
      <c r="AG140" s="45">
        <f>IF(AQ140="2",BI140,0)</f>
      </c>
      <c r="AH140" s="45">
        <f>IF(AQ140="0",BJ140,0)</f>
      </c>
      <c r="AI140" s="28" t="s">
        <v>45</v>
      </c>
      <c r="AJ140" s="45">
        <f>IF(AN140=0,J140,0)</f>
      </c>
      <c r="AK140" s="45">
        <f>IF(AN140=12,J140,0)</f>
      </c>
      <c r="AL140" s="45">
        <f>IF(AN140=21,J140,0)</f>
      </c>
      <c r="AN140" s="45" t="n">
        <v>12</v>
      </c>
      <c r="AO140" s="45">
        <f>G140*0.227204459</f>
      </c>
      <c r="AP140" s="45">
        <f>G140*(1-0.227204459)</f>
      </c>
      <c r="AQ140" s="47" t="s">
        <v>53</v>
      </c>
      <c r="AV140" s="45">
        <f>AW140+AX140</f>
      </c>
      <c r="AW140" s="45">
        <f>F140*AO140</f>
      </c>
      <c r="AX140" s="45">
        <f>F140*AP140</f>
      </c>
      <c r="AY140" s="47" t="s">
        <v>320</v>
      </c>
      <c r="AZ140" s="47" t="s">
        <v>55</v>
      </c>
      <c r="BA140" s="28" t="s">
        <v>56</v>
      </c>
      <c r="BC140" s="45">
        <f>AW140+AX140</f>
      </c>
      <c r="BD140" s="45">
        <f>G140/(100-BE140)*100</f>
      </c>
      <c r="BE140" s="45" t="n">
        <v>0</v>
      </c>
      <c r="BF140" s="45">
        <f>140</f>
      </c>
      <c r="BH140" s="45">
        <f>F140*AO140</f>
      </c>
      <c r="BI140" s="45">
        <f>F140*AP140</f>
      </c>
      <c r="BJ140" s="45">
        <f>F140*G140</f>
      </c>
      <c r="BK140" s="45"/>
      <c r="BL140" s="45" t="n">
        <v>725</v>
      </c>
      <c r="BW140" s="45" t="n">
        <v>12</v>
      </c>
      <c r="BX140" s="14" t="s">
        <v>386</v>
      </c>
    </row>
    <row r="141" customHeight="true" ht="13.5">
      <c r="A141" s="48"/>
      <c r="B141" s="49" t="s">
        <v>119</v>
      </c>
      <c r="C141" s="50" t="s">
        <v>387</v>
      </c>
      <c r="D141" s="51"/>
      <c r="E141" s="51"/>
      <c r="F141" s="51"/>
      <c r="G141" s="51"/>
      <c r="H141" s="51"/>
      <c r="I141" s="51"/>
      <c r="J141" s="51"/>
      <c r="K141" s="52"/>
    </row>
    <row r="142">
      <c r="A142" s="9" t="s">
        <v>388</v>
      </c>
      <c r="B142" s="10" t="s">
        <v>389</v>
      </c>
      <c r="C142" s="14" t="s">
        <v>390</v>
      </c>
      <c r="D142" s="10"/>
      <c r="E142" s="10" t="s">
        <v>319</v>
      </c>
      <c r="F142" s="45" t="n">
        <v>3</v>
      </c>
      <c r="G142" s="45" t="n">
        <v>0</v>
      </c>
      <c r="H142" s="45">
        <f>F142*AO142</f>
      </c>
      <c r="I142" s="45">
        <f>F142*AP142</f>
      </c>
      <c r="J142" s="45">
        <f>F142*G142</f>
      </c>
      <c r="K142" s="46" t="s">
        <v>52</v>
      </c>
      <c r="Z142" s="45">
        <f>IF(AQ142="5",BJ142,0)</f>
      </c>
      <c r="AB142" s="45">
        <f>IF(AQ142="1",BH142,0)</f>
      </c>
      <c r="AC142" s="45">
        <f>IF(AQ142="1",BI142,0)</f>
      </c>
      <c r="AD142" s="45">
        <f>IF(AQ142="7",BH142,0)</f>
      </c>
      <c r="AE142" s="45">
        <f>IF(AQ142="7",BI142,0)</f>
      </c>
      <c r="AF142" s="45">
        <f>IF(AQ142="2",BH142,0)</f>
      </c>
      <c r="AG142" s="45">
        <f>IF(AQ142="2",BI142,0)</f>
      </c>
      <c r="AH142" s="45">
        <f>IF(AQ142="0",BJ142,0)</f>
      </c>
      <c r="AI142" s="28" t="s">
        <v>45</v>
      </c>
      <c r="AJ142" s="45">
        <f>IF(AN142=0,J142,0)</f>
      </c>
      <c r="AK142" s="45">
        <f>IF(AN142=12,J142,0)</f>
      </c>
      <c r="AL142" s="45">
        <f>IF(AN142=21,J142,0)</f>
      </c>
      <c r="AN142" s="45" t="n">
        <v>12</v>
      </c>
      <c r="AO142" s="45">
        <f>G142*0.878971993</f>
      </c>
      <c r="AP142" s="45">
        <f>G142*(1-0.878971993)</f>
      </c>
      <c r="AQ142" s="47" t="s">
        <v>53</v>
      </c>
      <c r="AV142" s="45">
        <f>AW142+AX142</f>
      </c>
      <c r="AW142" s="45">
        <f>F142*AO142</f>
      </c>
      <c r="AX142" s="45">
        <f>F142*AP142</f>
      </c>
      <c r="AY142" s="47" t="s">
        <v>320</v>
      </c>
      <c r="AZ142" s="47" t="s">
        <v>55</v>
      </c>
      <c r="BA142" s="28" t="s">
        <v>56</v>
      </c>
      <c r="BC142" s="45">
        <f>AW142+AX142</f>
      </c>
      <c r="BD142" s="45">
        <f>G142/(100-BE142)*100</f>
      </c>
      <c r="BE142" s="45" t="n">
        <v>0</v>
      </c>
      <c r="BF142" s="45">
        <f>142</f>
      </c>
      <c r="BH142" s="45">
        <f>F142*AO142</f>
      </c>
      <c r="BI142" s="45">
        <f>F142*AP142</f>
      </c>
      <c r="BJ142" s="45">
        <f>F142*G142</f>
      </c>
      <c r="BK142" s="45"/>
      <c r="BL142" s="45" t="n">
        <v>725</v>
      </c>
      <c r="BW142" s="45" t="n">
        <v>12</v>
      </c>
      <c r="BX142" s="14" t="s">
        <v>390</v>
      </c>
    </row>
    <row r="143">
      <c r="A143" s="9" t="s">
        <v>391</v>
      </c>
      <c r="B143" s="10" t="s">
        <v>392</v>
      </c>
      <c r="C143" s="14" t="s">
        <v>393</v>
      </c>
      <c r="D143" s="10"/>
      <c r="E143" s="10" t="s">
        <v>319</v>
      </c>
      <c r="F143" s="45" t="n">
        <v>3</v>
      </c>
      <c r="G143" s="45" t="n">
        <v>0</v>
      </c>
      <c r="H143" s="45">
        <f>F143*AO143</f>
      </c>
      <c r="I143" s="45">
        <f>F143*AP143</f>
      </c>
      <c r="J143" s="45">
        <f>F143*G143</f>
      </c>
      <c r="K143" s="46" t="s">
        <v>52</v>
      </c>
      <c r="Z143" s="45">
        <f>IF(AQ143="5",BJ143,0)</f>
      </c>
      <c r="AB143" s="45">
        <f>IF(AQ143="1",BH143,0)</f>
      </c>
      <c r="AC143" s="45">
        <f>IF(AQ143="1",BI143,0)</f>
      </c>
      <c r="AD143" s="45">
        <f>IF(AQ143="7",BH143,0)</f>
      </c>
      <c r="AE143" s="45">
        <f>IF(AQ143="7",BI143,0)</f>
      </c>
      <c r="AF143" s="45">
        <f>IF(AQ143="2",BH143,0)</f>
      </c>
      <c r="AG143" s="45">
        <f>IF(AQ143="2",BI143,0)</f>
      </c>
      <c r="AH143" s="45">
        <f>IF(AQ143="0",BJ143,0)</f>
      </c>
      <c r="AI143" s="28" t="s">
        <v>45</v>
      </c>
      <c r="AJ143" s="45">
        <f>IF(AN143=0,J143,0)</f>
      </c>
      <c r="AK143" s="45">
        <f>IF(AN143=12,J143,0)</f>
      </c>
      <c r="AL143" s="45">
        <f>IF(AN143=21,J143,0)</f>
      </c>
      <c r="AN143" s="45" t="n">
        <v>12</v>
      </c>
      <c r="AO143" s="45">
        <f>G143*0.223408788</f>
      </c>
      <c r="AP143" s="45">
        <f>G143*(1-0.223408788)</f>
      </c>
      <c r="AQ143" s="47" t="s">
        <v>53</v>
      </c>
      <c r="AV143" s="45">
        <f>AW143+AX143</f>
      </c>
      <c r="AW143" s="45">
        <f>F143*AO143</f>
      </c>
      <c r="AX143" s="45">
        <f>F143*AP143</f>
      </c>
      <c r="AY143" s="47" t="s">
        <v>320</v>
      </c>
      <c r="AZ143" s="47" t="s">
        <v>55</v>
      </c>
      <c r="BA143" s="28" t="s">
        <v>56</v>
      </c>
      <c r="BC143" s="45">
        <f>AW143+AX143</f>
      </c>
      <c r="BD143" s="45">
        <f>G143/(100-BE143)*100</f>
      </c>
      <c r="BE143" s="45" t="n">
        <v>0</v>
      </c>
      <c r="BF143" s="45">
        <f>143</f>
      </c>
      <c r="BH143" s="45">
        <f>F143*AO143</f>
      </c>
      <c r="BI143" s="45">
        <f>F143*AP143</f>
      </c>
      <c r="BJ143" s="45">
        <f>F143*G143</f>
      </c>
      <c r="BK143" s="45"/>
      <c r="BL143" s="45" t="n">
        <v>725</v>
      </c>
      <c r="BW143" s="45" t="n">
        <v>12</v>
      </c>
      <c r="BX143" s="14" t="s">
        <v>393</v>
      </c>
    </row>
    <row r="144">
      <c r="A144" s="9" t="s">
        <v>394</v>
      </c>
      <c r="B144" s="10" t="s">
        <v>395</v>
      </c>
      <c r="C144" s="14" t="s">
        <v>396</v>
      </c>
      <c r="D144" s="10"/>
      <c r="E144" s="10" t="s">
        <v>397</v>
      </c>
      <c r="F144" s="45" t="n">
        <v>2</v>
      </c>
      <c r="G144" s="45" t="n">
        <v>0</v>
      </c>
      <c r="H144" s="45">
        <f>F144*AO144</f>
      </c>
      <c r="I144" s="45">
        <f>F144*AP144</f>
      </c>
      <c r="J144" s="45">
        <f>F144*G144</f>
      </c>
      <c r="K144" s="46" t="s">
        <v>45</v>
      </c>
      <c r="Z144" s="45">
        <f>IF(AQ144="5",BJ144,0)</f>
      </c>
      <c r="AB144" s="45">
        <f>IF(AQ144="1",BH144,0)</f>
      </c>
      <c r="AC144" s="45">
        <f>IF(AQ144="1",BI144,0)</f>
      </c>
      <c r="AD144" s="45">
        <f>IF(AQ144="7",BH144,0)</f>
      </c>
      <c r="AE144" s="45">
        <f>IF(AQ144="7",BI144,0)</f>
      </c>
      <c r="AF144" s="45">
        <f>IF(AQ144="2",BH144,0)</f>
      </c>
      <c r="AG144" s="45">
        <f>IF(AQ144="2",BI144,0)</f>
      </c>
      <c r="AH144" s="45">
        <f>IF(AQ144="0",BJ144,0)</f>
      </c>
      <c r="AI144" s="28" t="s">
        <v>45</v>
      </c>
      <c r="AJ144" s="45">
        <f>IF(AN144=0,J144,0)</f>
      </c>
      <c r="AK144" s="45">
        <f>IF(AN144=12,J144,0)</f>
      </c>
      <c r="AL144" s="45">
        <f>IF(AN144=21,J144,0)</f>
      </c>
      <c r="AN144" s="45" t="n">
        <v>12</v>
      </c>
      <c r="AO144" s="45">
        <f>G144*0.87289482</f>
      </c>
      <c r="AP144" s="45">
        <f>G144*(1-0.87289482)</f>
      </c>
      <c r="AQ144" s="47" t="s">
        <v>53</v>
      </c>
      <c r="AV144" s="45">
        <f>AW144+AX144</f>
      </c>
      <c r="AW144" s="45">
        <f>F144*AO144</f>
      </c>
      <c r="AX144" s="45">
        <f>F144*AP144</f>
      </c>
      <c r="AY144" s="47" t="s">
        <v>320</v>
      </c>
      <c r="AZ144" s="47" t="s">
        <v>55</v>
      </c>
      <c r="BA144" s="28" t="s">
        <v>56</v>
      </c>
      <c r="BC144" s="45">
        <f>AW144+AX144</f>
      </c>
      <c r="BD144" s="45">
        <f>G144/(100-BE144)*100</f>
      </c>
      <c r="BE144" s="45" t="n">
        <v>0</v>
      </c>
      <c r="BF144" s="45">
        <f>144</f>
      </c>
      <c r="BH144" s="45">
        <f>F144*AO144</f>
      </c>
      <c r="BI144" s="45">
        <f>F144*AP144</f>
      </c>
      <c r="BJ144" s="45">
        <f>F144*G144</f>
      </c>
      <c r="BK144" s="45"/>
      <c r="BL144" s="45" t="n">
        <v>725</v>
      </c>
      <c r="BW144" s="45" t="n">
        <v>12</v>
      </c>
      <c r="BX144" s="14" t="s">
        <v>396</v>
      </c>
    </row>
    <row r="145" ht="24.75">
      <c r="A145" s="9" t="s">
        <v>398</v>
      </c>
      <c r="B145" s="10" t="s">
        <v>399</v>
      </c>
      <c r="C145" s="14" t="s">
        <v>400</v>
      </c>
      <c r="D145" s="10"/>
      <c r="E145" s="10" t="s">
        <v>397</v>
      </c>
      <c r="F145" s="45" t="n">
        <v>6</v>
      </c>
      <c r="G145" s="45" t="n">
        <v>0</v>
      </c>
      <c r="H145" s="45">
        <f>F145*AO145</f>
      </c>
      <c r="I145" s="45">
        <f>F145*AP145</f>
      </c>
      <c r="J145" s="45">
        <f>F145*G145</f>
      </c>
      <c r="K145" s="46" t="s">
        <v>45</v>
      </c>
      <c r="Z145" s="45">
        <f>IF(AQ145="5",BJ145,0)</f>
      </c>
      <c r="AB145" s="45">
        <f>IF(AQ145="1",BH145,0)</f>
      </c>
      <c r="AC145" s="45">
        <f>IF(AQ145="1",BI145,0)</f>
      </c>
      <c r="AD145" s="45">
        <f>IF(AQ145="7",BH145,0)</f>
      </c>
      <c r="AE145" s="45">
        <f>IF(AQ145="7",BI145,0)</f>
      </c>
      <c r="AF145" s="45">
        <f>IF(AQ145="2",BH145,0)</f>
      </c>
      <c r="AG145" s="45">
        <f>IF(AQ145="2",BI145,0)</f>
      </c>
      <c r="AH145" s="45">
        <f>IF(AQ145="0",BJ145,0)</f>
      </c>
      <c r="AI145" s="28" t="s">
        <v>45</v>
      </c>
      <c r="AJ145" s="45">
        <f>IF(AN145=0,J145,0)</f>
      </c>
      <c r="AK145" s="45">
        <f>IF(AN145=12,J145,0)</f>
      </c>
      <c r="AL145" s="45">
        <f>IF(AN145=21,J145,0)</f>
      </c>
      <c r="AN145" s="45" t="n">
        <v>12</v>
      </c>
      <c r="AO145" s="45">
        <f>G145*0.843014129</f>
      </c>
      <c r="AP145" s="45">
        <f>G145*(1-0.843014129)</f>
      </c>
      <c r="AQ145" s="47" t="s">
        <v>53</v>
      </c>
      <c r="AV145" s="45">
        <f>AW145+AX145</f>
      </c>
      <c r="AW145" s="45">
        <f>F145*AO145</f>
      </c>
      <c r="AX145" s="45">
        <f>F145*AP145</f>
      </c>
      <c r="AY145" s="47" t="s">
        <v>320</v>
      </c>
      <c r="AZ145" s="47" t="s">
        <v>55</v>
      </c>
      <c r="BA145" s="28" t="s">
        <v>56</v>
      </c>
      <c r="BC145" s="45">
        <f>AW145+AX145</f>
      </c>
      <c r="BD145" s="45">
        <f>G145/(100-BE145)*100</f>
      </c>
      <c r="BE145" s="45" t="n">
        <v>0</v>
      </c>
      <c r="BF145" s="45">
        <f>145</f>
      </c>
      <c r="BH145" s="45">
        <f>F145*AO145</f>
      </c>
      <c r="BI145" s="45">
        <f>F145*AP145</f>
      </c>
      <c r="BJ145" s="45">
        <f>F145*G145</f>
      </c>
      <c r="BK145" s="45"/>
      <c r="BL145" s="45" t="n">
        <v>725</v>
      </c>
      <c r="BW145" s="45" t="n">
        <v>12</v>
      </c>
      <c r="BX145" s="14" t="s">
        <v>400</v>
      </c>
    </row>
    <row r="146" customHeight="true" ht="13.5">
      <c r="A146" s="48"/>
      <c r="B146" s="49" t="s">
        <v>119</v>
      </c>
      <c r="C146" s="50" t="s">
        <v>338</v>
      </c>
      <c r="D146" s="51"/>
      <c r="E146" s="51"/>
      <c r="F146" s="51"/>
      <c r="G146" s="51"/>
      <c r="H146" s="51"/>
      <c r="I146" s="51"/>
      <c r="J146" s="51"/>
      <c r="K146" s="52"/>
    </row>
    <row r="147">
      <c r="A147" s="9" t="s">
        <v>401</v>
      </c>
      <c r="B147" s="10" t="s">
        <v>402</v>
      </c>
      <c r="C147" s="14" t="s">
        <v>403</v>
      </c>
      <c r="D147" s="10"/>
      <c r="E147" s="10" t="s">
        <v>319</v>
      </c>
      <c r="F147" s="45" t="n">
        <v>6</v>
      </c>
      <c r="G147" s="45" t="n">
        <v>0</v>
      </c>
      <c r="H147" s="45">
        <f>F147*AO147</f>
      </c>
      <c r="I147" s="45">
        <f>F147*AP147</f>
      </c>
      <c r="J147" s="45">
        <f>F147*G147</f>
      </c>
      <c r="K147" s="46" t="s">
        <v>52</v>
      </c>
      <c r="Z147" s="45">
        <f>IF(AQ147="5",BJ147,0)</f>
      </c>
      <c r="AB147" s="45">
        <f>IF(AQ147="1",BH147,0)</f>
      </c>
      <c r="AC147" s="45">
        <f>IF(AQ147="1",BI147,0)</f>
      </c>
      <c r="AD147" s="45">
        <f>IF(AQ147="7",BH147,0)</f>
      </c>
      <c r="AE147" s="45">
        <f>IF(AQ147="7",BI147,0)</f>
      </c>
      <c r="AF147" s="45">
        <f>IF(AQ147="2",BH147,0)</f>
      </c>
      <c r="AG147" s="45">
        <f>IF(AQ147="2",BI147,0)</f>
      </c>
      <c r="AH147" s="45">
        <f>IF(AQ147="0",BJ147,0)</f>
      </c>
      <c r="AI147" s="28" t="s">
        <v>45</v>
      </c>
      <c r="AJ147" s="45">
        <f>IF(AN147=0,J147,0)</f>
      </c>
      <c r="AK147" s="45">
        <f>IF(AN147=12,J147,0)</f>
      </c>
      <c r="AL147" s="45">
        <f>IF(AN147=21,J147,0)</f>
      </c>
      <c r="AN147" s="45" t="n">
        <v>12</v>
      </c>
      <c r="AO147" s="45">
        <f>G147*0.326501149</f>
      </c>
      <c r="AP147" s="45">
        <f>G147*(1-0.326501149)</f>
      </c>
      <c r="AQ147" s="47" t="s">
        <v>53</v>
      </c>
      <c r="AV147" s="45">
        <f>AW147+AX147</f>
      </c>
      <c r="AW147" s="45">
        <f>F147*AO147</f>
      </c>
      <c r="AX147" s="45">
        <f>F147*AP147</f>
      </c>
      <c r="AY147" s="47" t="s">
        <v>320</v>
      </c>
      <c r="AZ147" s="47" t="s">
        <v>55</v>
      </c>
      <c r="BA147" s="28" t="s">
        <v>56</v>
      </c>
      <c r="BC147" s="45">
        <f>AW147+AX147</f>
      </c>
      <c r="BD147" s="45">
        <f>G147/(100-BE147)*100</f>
      </c>
      <c r="BE147" s="45" t="n">
        <v>0</v>
      </c>
      <c r="BF147" s="45">
        <f>147</f>
      </c>
      <c r="BH147" s="45">
        <f>F147*AO147</f>
      </c>
      <c r="BI147" s="45">
        <f>F147*AP147</f>
      </c>
      <c r="BJ147" s="45">
        <f>F147*G147</f>
      </c>
      <c r="BK147" s="45"/>
      <c r="BL147" s="45" t="n">
        <v>725</v>
      </c>
      <c r="BW147" s="45" t="n">
        <v>12</v>
      </c>
      <c r="BX147" s="14" t="s">
        <v>403</v>
      </c>
    </row>
    <row r="148">
      <c r="A148" s="9" t="s">
        <v>404</v>
      </c>
      <c r="B148" s="10" t="s">
        <v>405</v>
      </c>
      <c r="C148" s="14" t="s">
        <v>406</v>
      </c>
      <c r="D148" s="10"/>
      <c r="E148" s="10" t="s">
        <v>319</v>
      </c>
      <c r="F148" s="45" t="n">
        <v>6</v>
      </c>
      <c r="G148" s="45" t="n">
        <v>0</v>
      </c>
      <c r="H148" s="45">
        <f>F148*AO148</f>
      </c>
      <c r="I148" s="45">
        <f>F148*AP148</f>
      </c>
      <c r="J148" s="45">
        <f>F148*G148</f>
      </c>
      <c r="K148" s="46" t="s">
        <v>52</v>
      </c>
      <c r="Z148" s="45">
        <f>IF(AQ148="5",BJ148,0)</f>
      </c>
      <c r="AB148" s="45">
        <f>IF(AQ148="1",BH148,0)</f>
      </c>
      <c r="AC148" s="45">
        <f>IF(AQ148="1",BI148,0)</f>
      </c>
      <c r="AD148" s="45">
        <f>IF(AQ148="7",BH148,0)</f>
      </c>
      <c r="AE148" s="45">
        <f>IF(AQ148="7",BI148,0)</f>
      </c>
      <c r="AF148" s="45">
        <f>IF(AQ148="2",BH148,0)</f>
      </c>
      <c r="AG148" s="45">
        <f>IF(AQ148="2",BI148,0)</f>
      </c>
      <c r="AH148" s="45">
        <f>IF(AQ148="0",BJ148,0)</f>
      </c>
      <c r="AI148" s="28" t="s">
        <v>45</v>
      </c>
      <c r="AJ148" s="45">
        <f>IF(AN148=0,J148,0)</f>
      </c>
      <c r="AK148" s="45">
        <f>IF(AN148=12,J148,0)</f>
      </c>
      <c r="AL148" s="45">
        <f>IF(AN148=21,J148,0)</f>
      </c>
      <c r="AN148" s="45" t="n">
        <v>12</v>
      </c>
      <c r="AO148" s="45">
        <f>G148*0.878971993</f>
      </c>
      <c r="AP148" s="45">
        <f>G148*(1-0.878971993)</f>
      </c>
      <c r="AQ148" s="47" t="s">
        <v>53</v>
      </c>
      <c r="AV148" s="45">
        <f>AW148+AX148</f>
      </c>
      <c r="AW148" s="45">
        <f>F148*AO148</f>
      </c>
      <c r="AX148" s="45">
        <f>F148*AP148</f>
      </c>
      <c r="AY148" s="47" t="s">
        <v>320</v>
      </c>
      <c r="AZ148" s="47" t="s">
        <v>55</v>
      </c>
      <c r="BA148" s="28" t="s">
        <v>56</v>
      </c>
      <c r="BC148" s="45">
        <f>AW148+AX148</f>
      </c>
      <c r="BD148" s="45">
        <f>G148/(100-BE148)*100</f>
      </c>
      <c r="BE148" s="45" t="n">
        <v>0</v>
      </c>
      <c r="BF148" s="45">
        <f>148</f>
      </c>
      <c r="BH148" s="45">
        <f>F148*AO148</f>
      </c>
      <c r="BI148" s="45">
        <f>F148*AP148</f>
      </c>
      <c r="BJ148" s="45">
        <f>F148*G148</f>
      </c>
      <c r="BK148" s="45"/>
      <c r="BL148" s="45" t="n">
        <v>725</v>
      </c>
      <c r="BW148" s="45" t="n">
        <v>12</v>
      </c>
      <c r="BX148" s="14" t="s">
        <v>406</v>
      </c>
    </row>
    <row r="149" customHeight="true" ht="13.5">
      <c r="A149" s="48"/>
      <c r="B149" s="49" t="s">
        <v>119</v>
      </c>
      <c r="C149" s="50" t="s">
        <v>407</v>
      </c>
      <c r="D149" s="51"/>
      <c r="E149" s="51"/>
      <c r="F149" s="51"/>
      <c r="G149" s="51"/>
      <c r="H149" s="51"/>
      <c r="I149" s="51"/>
      <c r="J149" s="51"/>
      <c r="K149" s="52"/>
    </row>
    <row r="150">
      <c r="A150" s="9" t="s">
        <v>408</v>
      </c>
      <c r="B150" s="10" t="s">
        <v>409</v>
      </c>
      <c r="C150" s="14" t="s">
        <v>410</v>
      </c>
      <c r="D150" s="10"/>
      <c r="E150" s="10" t="s">
        <v>111</v>
      </c>
      <c r="F150" s="45" t="n">
        <v>6</v>
      </c>
      <c r="G150" s="45" t="n">
        <v>0</v>
      </c>
      <c r="H150" s="45">
        <f>F150*AO150</f>
      </c>
      <c r="I150" s="45">
        <f>F150*AP150</f>
      </c>
      <c r="J150" s="45">
        <f>F150*G150</f>
      </c>
      <c r="K150" s="46" t="s">
        <v>52</v>
      </c>
      <c r="Z150" s="45">
        <f>IF(AQ150="5",BJ150,0)</f>
      </c>
      <c r="AB150" s="45">
        <f>IF(AQ150="1",BH150,0)</f>
      </c>
      <c r="AC150" s="45">
        <f>IF(AQ150="1",BI150,0)</f>
      </c>
      <c r="AD150" s="45">
        <f>IF(AQ150="7",BH150,0)</f>
      </c>
      <c r="AE150" s="45">
        <f>IF(AQ150="7",BI150,0)</f>
      </c>
      <c r="AF150" s="45">
        <f>IF(AQ150="2",BH150,0)</f>
      </c>
      <c r="AG150" s="45">
        <f>IF(AQ150="2",BI150,0)</f>
      </c>
      <c r="AH150" s="45">
        <f>IF(AQ150="0",BJ150,0)</f>
      </c>
      <c r="AI150" s="28" t="s">
        <v>45</v>
      </c>
      <c r="AJ150" s="45">
        <f>IF(AN150=0,J150,0)</f>
      </c>
      <c r="AK150" s="45">
        <f>IF(AN150=12,J150,0)</f>
      </c>
      <c r="AL150" s="45">
        <f>IF(AN150=21,J150,0)</f>
      </c>
      <c r="AN150" s="45" t="n">
        <v>12</v>
      </c>
      <c r="AO150" s="45">
        <f>G150*0.211716738</f>
      </c>
      <c r="AP150" s="45">
        <f>G150*(1-0.211716738)</f>
      </c>
      <c r="AQ150" s="47" t="s">
        <v>53</v>
      </c>
      <c r="AV150" s="45">
        <f>AW150+AX150</f>
      </c>
      <c r="AW150" s="45">
        <f>F150*AO150</f>
      </c>
      <c r="AX150" s="45">
        <f>F150*AP150</f>
      </c>
      <c r="AY150" s="47" t="s">
        <v>320</v>
      </c>
      <c r="AZ150" s="47" t="s">
        <v>55</v>
      </c>
      <c r="BA150" s="28" t="s">
        <v>56</v>
      </c>
      <c r="BC150" s="45">
        <f>AW150+AX150</f>
      </c>
      <c r="BD150" s="45">
        <f>G150/(100-BE150)*100</f>
      </c>
      <c r="BE150" s="45" t="n">
        <v>0</v>
      </c>
      <c r="BF150" s="45">
        <f>150</f>
      </c>
      <c r="BH150" s="45">
        <f>F150*AO150</f>
      </c>
      <c r="BI150" s="45">
        <f>F150*AP150</f>
      </c>
      <c r="BJ150" s="45">
        <f>F150*G150</f>
      </c>
      <c r="BK150" s="45"/>
      <c r="BL150" s="45" t="n">
        <v>725</v>
      </c>
      <c r="BW150" s="45" t="n">
        <v>12</v>
      </c>
      <c r="BX150" s="14" t="s">
        <v>410</v>
      </c>
    </row>
    <row r="151">
      <c r="A151" s="9" t="s">
        <v>411</v>
      </c>
      <c r="B151" s="10" t="s">
        <v>412</v>
      </c>
      <c r="C151" s="14" t="s">
        <v>413</v>
      </c>
      <c r="D151" s="10"/>
      <c r="E151" s="10" t="s">
        <v>111</v>
      </c>
      <c r="F151" s="45" t="n">
        <v>2</v>
      </c>
      <c r="G151" s="45" t="n">
        <v>0</v>
      </c>
      <c r="H151" s="45">
        <f>F151*AO151</f>
      </c>
      <c r="I151" s="45">
        <f>F151*AP151</f>
      </c>
      <c r="J151" s="45">
        <f>F151*G151</f>
      </c>
      <c r="K151" s="46" t="s">
        <v>52</v>
      </c>
      <c r="Z151" s="45">
        <f>IF(AQ151="5",BJ151,0)</f>
      </c>
      <c r="AB151" s="45">
        <f>IF(AQ151="1",BH151,0)</f>
      </c>
      <c r="AC151" s="45">
        <f>IF(AQ151="1",BI151,0)</f>
      </c>
      <c r="AD151" s="45">
        <f>IF(AQ151="7",BH151,0)</f>
      </c>
      <c r="AE151" s="45">
        <f>IF(AQ151="7",BI151,0)</f>
      </c>
      <c r="AF151" s="45">
        <f>IF(AQ151="2",BH151,0)</f>
      </c>
      <c r="AG151" s="45">
        <f>IF(AQ151="2",BI151,0)</f>
      </c>
      <c r="AH151" s="45">
        <f>IF(AQ151="0",BJ151,0)</f>
      </c>
      <c r="AI151" s="28" t="s">
        <v>45</v>
      </c>
      <c r="AJ151" s="45">
        <f>IF(AN151=0,J151,0)</f>
      </c>
      <c r="AK151" s="45">
        <f>IF(AN151=12,J151,0)</f>
      </c>
      <c r="AL151" s="45">
        <f>IF(AN151=21,J151,0)</f>
      </c>
      <c r="AN151" s="45" t="n">
        <v>12</v>
      </c>
      <c r="AO151" s="45">
        <f>G151*0.789346505</f>
      </c>
      <c r="AP151" s="45">
        <f>G151*(1-0.789346505)</f>
      </c>
      <c r="AQ151" s="47" t="s">
        <v>53</v>
      </c>
      <c r="AV151" s="45">
        <f>AW151+AX151</f>
      </c>
      <c r="AW151" s="45">
        <f>F151*AO151</f>
      </c>
      <c r="AX151" s="45">
        <f>F151*AP151</f>
      </c>
      <c r="AY151" s="47" t="s">
        <v>320</v>
      </c>
      <c r="AZ151" s="47" t="s">
        <v>55</v>
      </c>
      <c r="BA151" s="28" t="s">
        <v>56</v>
      </c>
      <c r="BC151" s="45">
        <f>AW151+AX151</f>
      </c>
      <c r="BD151" s="45">
        <f>G151/(100-BE151)*100</f>
      </c>
      <c r="BE151" s="45" t="n">
        <v>0</v>
      </c>
      <c r="BF151" s="45">
        <f>151</f>
      </c>
      <c r="BH151" s="45">
        <f>F151*AO151</f>
      </c>
      <c r="BI151" s="45">
        <f>F151*AP151</f>
      </c>
      <c r="BJ151" s="45">
        <f>F151*G151</f>
      </c>
      <c r="BK151" s="45"/>
      <c r="BL151" s="45" t="n">
        <v>725</v>
      </c>
      <c r="BW151" s="45" t="n">
        <v>12</v>
      </c>
      <c r="BX151" s="14" t="s">
        <v>413</v>
      </c>
    </row>
    <row r="152" ht="24.75">
      <c r="A152" s="9" t="s">
        <v>414</v>
      </c>
      <c r="B152" s="10" t="s">
        <v>415</v>
      </c>
      <c r="C152" s="14" t="s">
        <v>416</v>
      </c>
      <c r="D152" s="10"/>
      <c r="E152" s="10" t="s">
        <v>319</v>
      </c>
      <c r="F152" s="45" t="n">
        <v>82</v>
      </c>
      <c r="G152" s="45" t="n">
        <v>0</v>
      </c>
      <c r="H152" s="45">
        <f>F152*AO152</f>
      </c>
      <c r="I152" s="45">
        <f>F152*AP152</f>
      </c>
      <c r="J152" s="45">
        <f>F152*G152</f>
      </c>
      <c r="K152" s="46" t="s">
        <v>52</v>
      </c>
      <c r="Z152" s="45">
        <f>IF(AQ152="5",BJ152,0)</f>
      </c>
      <c r="AB152" s="45">
        <f>IF(AQ152="1",BH152,0)</f>
      </c>
      <c r="AC152" s="45">
        <f>IF(AQ152="1",BI152,0)</f>
      </c>
      <c r="AD152" s="45">
        <f>IF(AQ152="7",BH152,0)</f>
      </c>
      <c r="AE152" s="45">
        <f>IF(AQ152="7",BI152,0)</f>
      </c>
      <c r="AF152" s="45">
        <f>IF(AQ152="2",BH152,0)</f>
      </c>
      <c r="AG152" s="45">
        <f>IF(AQ152="2",BI152,0)</f>
      </c>
      <c r="AH152" s="45">
        <f>IF(AQ152="0",BJ152,0)</f>
      </c>
      <c r="AI152" s="28" t="s">
        <v>45</v>
      </c>
      <c r="AJ152" s="45">
        <f>IF(AN152=0,J152,0)</f>
      </c>
      <c r="AK152" s="45">
        <f>IF(AN152=12,J152,0)</f>
      </c>
      <c r="AL152" s="45">
        <f>IF(AN152=21,J152,0)</f>
      </c>
      <c r="AN152" s="45" t="n">
        <v>12</v>
      </c>
      <c r="AO152" s="45">
        <f>G152*0.816162733</f>
      </c>
      <c r="AP152" s="45">
        <f>G152*(1-0.816162733)</f>
      </c>
      <c r="AQ152" s="47" t="s">
        <v>53</v>
      </c>
      <c r="AV152" s="45">
        <f>AW152+AX152</f>
      </c>
      <c r="AW152" s="45">
        <f>F152*AO152</f>
      </c>
      <c r="AX152" s="45">
        <f>F152*AP152</f>
      </c>
      <c r="AY152" s="47" t="s">
        <v>320</v>
      </c>
      <c r="AZ152" s="47" t="s">
        <v>55</v>
      </c>
      <c r="BA152" s="28" t="s">
        <v>56</v>
      </c>
      <c r="BC152" s="45">
        <f>AW152+AX152</f>
      </c>
      <c r="BD152" s="45">
        <f>G152/(100-BE152)*100</f>
      </c>
      <c r="BE152" s="45" t="n">
        <v>0</v>
      </c>
      <c r="BF152" s="45">
        <f>152</f>
      </c>
      <c r="BH152" s="45">
        <f>F152*AO152</f>
      </c>
      <c r="BI152" s="45">
        <f>F152*AP152</f>
      </c>
      <c r="BJ152" s="45">
        <f>F152*G152</f>
      </c>
      <c r="BK152" s="45"/>
      <c r="BL152" s="45" t="n">
        <v>725</v>
      </c>
      <c r="BW152" s="45" t="n">
        <v>12</v>
      </c>
      <c r="BX152" s="14" t="s">
        <v>416</v>
      </c>
    </row>
    <row r="153">
      <c r="A153" s="9" t="s">
        <v>417</v>
      </c>
      <c r="B153" s="10" t="s">
        <v>418</v>
      </c>
      <c r="C153" s="14" t="s">
        <v>419</v>
      </c>
      <c r="D153" s="10"/>
      <c r="E153" s="10" t="s">
        <v>319</v>
      </c>
      <c r="F153" s="45" t="n">
        <v>8</v>
      </c>
      <c r="G153" s="45" t="n">
        <v>0</v>
      </c>
      <c r="H153" s="45">
        <f>F153*AO153</f>
      </c>
      <c r="I153" s="45">
        <f>F153*AP153</f>
      </c>
      <c r="J153" s="45">
        <f>F153*G153</f>
      </c>
      <c r="K153" s="46" t="s">
        <v>52</v>
      </c>
      <c r="Z153" s="45">
        <f>IF(AQ153="5",BJ153,0)</f>
      </c>
      <c r="AB153" s="45">
        <f>IF(AQ153="1",BH153,0)</f>
      </c>
      <c r="AC153" s="45">
        <f>IF(AQ153="1",BI153,0)</f>
      </c>
      <c r="AD153" s="45">
        <f>IF(AQ153="7",BH153,0)</f>
      </c>
      <c r="AE153" s="45">
        <f>IF(AQ153="7",BI153,0)</f>
      </c>
      <c r="AF153" s="45">
        <f>IF(AQ153="2",BH153,0)</f>
      </c>
      <c r="AG153" s="45">
        <f>IF(AQ153="2",BI153,0)</f>
      </c>
      <c r="AH153" s="45">
        <f>IF(AQ153="0",BJ153,0)</f>
      </c>
      <c r="AI153" s="28" t="s">
        <v>45</v>
      </c>
      <c r="AJ153" s="45">
        <f>IF(AN153=0,J153,0)</f>
      </c>
      <c r="AK153" s="45">
        <f>IF(AN153=12,J153,0)</f>
      </c>
      <c r="AL153" s="45">
        <f>IF(AN153=21,J153,0)</f>
      </c>
      <c r="AN153" s="45" t="n">
        <v>12</v>
      </c>
      <c r="AO153" s="45">
        <f>G153*0.823143718</f>
      </c>
      <c r="AP153" s="45">
        <f>G153*(1-0.823143718)</f>
      </c>
      <c r="AQ153" s="47" t="s">
        <v>53</v>
      </c>
      <c r="AV153" s="45">
        <f>AW153+AX153</f>
      </c>
      <c r="AW153" s="45">
        <f>F153*AO153</f>
      </c>
      <c r="AX153" s="45">
        <f>F153*AP153</f>
      </c>
      <c r="AY153" s="47" t="s">
        <v>320</v>
      </c>
      <c r="AZ153" s="47" t="s">
        <v>55</v>
      </c>
      <c r="BA153" s="28" t="s">
        <v>56</v>
      </c>
      <c r="BC153" s="45">
        <f>AW153+AX153</f>
      </c>
      <c r="BD153" s="45">
        <f>G153/(100-BE153)*100</f>
      </c>
      <c r="BE153" s="45" t="n">
        <v>0</v>
      </c>
      <c r="BF153" s="45">
        <f>153</f>
      </c>
      <c r="BH153" s="45">
        <f>F153*AO153</f>
      </c>
      <c r="BI153" s="45">
        <f>F153*AP153</f>
      </c>
      <c r="BJ153" s="45">
        <f>F153*G153</f>
      </c>
      <c r="BK153" s="45"/>
      <c r="BL153" s="45" t="n">
        <v>725</v>
      </c>
      <c r="BW153" s="45" t="n">
        <v>12</v>
      </c>
      <c r="BX153" s="14" t="s">
        <v>419</v>
      </c>
    </row>
    <row r="154">
      <c r="A154" s="48"/>
      <c r="C154" s="51" t="s">
        <v>63</v>
      </c>
      <c r="D154" s="51" t="s">
        <v>420</v>
      </c>
      <c r="F154" s="73" t="n">
        <v>4</v>
      </c>
      <c r="K154" s="74"/>
    </row>
    <row r="155">
      <c r="A155" s="48"/>
      <c r="C155" s="51" t="s">
        <v>57</v>
      </c>
      <c r="D155" s="51" t="s">
        <v>421</v>
      </c>
      <c r="F155" s="73" t="n">
        <v>2</v>
      </c>
      <c r="K155" s="74"/>
    </row>
    <row r="156">
      <c r="A156" s="48"/>
      <c r="C156" s="51" t="s">
        <v>57</v>
      </c>
      <c r="D156" s="51" t="s">
        <v>422</v>
      </c>
      <c r="F156" s="73" t="n">
        <v>2</v>
      </c>
      <c r="K156" s="74"/>
    </row>
    <row r="157">
      <c r="A157" s="9" t="s">
        <v>423</v>
      </c>
      <c r="B157" s="10" t="s">
        <v>424</v>
      </c>
      <c r="C157" s="14" t="s">
        <v>425</v>
      </c>
      <c r="D157" s="10"/>
      <c r="E157" s="10" t="s">
        <v>319</v>
      </c>
      <c r="F157" s="45" t="n">
        <v>82</v>
      </c>
      <c r="G157" s="45" t="n">
        <v>0</v>
      </c>
      <c r="H157" s="45">
        <f>F157*AO157</f>
      </c>
      <c r="I157" s="45">
        <f>F157*AP157</f>
      </c>
      <c r="J157" s="45">
        <f>F157*G157</f>
      </c>
      <c r="K157" s="46" t="s">
        <v>52</v>
      </c>
      <c r="Z157" s="45">
        <f>IF(AQ157="5",BJ157,0)</f>
      </c>
      <c r="AB157" s="45">
        <f>IF(AQ157="1",BH157,0)</f>
      </c>
      <c r="AC157" s="45">
        <f>IF(AQ157="1",BI157,0)</f>
      </c>
      <c r="AD157" s="45">
        <f>IF(AQ157="7",BH157,0)</f>
      </c>
      <c r="AE157" s="45">
        <f>IF(AQ157="7",BI157,0)</f>
      </c>
      <c r="AF157" s="45">
        <f>IF(AQ157="2",BH157,0)</f>
      </c>
      <c r="AG157" s="45">
        <f>IF(AQ157="2",BI157,0)</f>
      </c>
      <c r="AH157" s="45">
        <f>IF(AQ157="0",BJ157,0)</f>
      </c>
      <c r="AI157" s="28" t="s">
        <v>45</v>
      </c>
      <c r="AJ157" s="45">
        <f>IF(AN157=0,J157,0)</f>
      </c>
      <c r="AK157" s="45">
        <f>IF(AN157=12,J157,0)</f>
      </c>
      <c r="AL157" s="45">
        <f>IF(AN157=21,J157,0)</f>
      </c>
      <c r="AN157" s="45" t="n">
        <v>12</v>
      </c>
      <c r="AO157" s="45">
        <f>G157*0.292209945</f>
      </c>
      <c r="AP157" s="45">
        <f>G157*(1-0.292209945)</f>
      </c>
      <c r="AQ157" s="47" t="s">
        <v>53</v>
      </c>
      <c r="AV157" s="45">
        <f>AW157+AX157</f>
      </c>
      <c r="AW157" s="45">
        <f>F157*AO157</f>
      </c>
      <c r="AX157" s="45">
        <f>F157*AP157</f>
      </c>
      <c r="AY157" s="47" t="s">
        <v>320</v>
      </c>
      <c r="AZ157" s="47" t="s">
        <v>55</v>
      </c>
      <c r="BA157" s="28" t="s">
        <v>56</v>
      </c>
      <c r="BC157" s="45">
        <f>AW157+AX157</f>
      </c>
      <c r="BD157" s="45">
        <f>G157/(100-BE157)*100</f>
      </c>
      <c r="BE157" s="45" t="n">
        <v>0</v>
      </c>
      <c r="BF157" s="45">
        <f>157</f>
      </c>
      <c r="BH157" s="45">
        <f>F157*AO157</f>
      </c>
      <c r="BI157" s="45">
        <f>F157*AP157</f>
      </c>
      <c r="BJ157" s="45">
        <f>F157*G157</f>
      </c>
      <c r="BK157" s="45"/>
      <c r="BL157" s="45" t="n">
        <v>725</v>
      </c>
      <c r="BW157" s="45" t="n">
        <v>12</v>
      </c>
      <c r="BX157" s="14" t="s">
        <v>425</v>
      </c>
    </row>
    <row r="158">
      <c r="A158" s="9" t="s">
        <v>426</v>
      </c>
      <c r="B158" s="10" t="s">
        <v>427</v>
      </c>
      <c r="C158" s="14" t="s">
        <v>428</v>
      </c>
      <c r="D158" s="10"/>
      <c r="E158" s="10" t="s">
        <v>319</v>
      </c>
      <c r="F158" s="45" t="n">
        <v>8</v>
      </c>
      <c r="G158" s="45" t="n">
        <v>0</v>
      </c>
      <c r="H158" s="45">
        <f>F158*AO158</f>
      </c>
      <c r="I158" s="45">
        <f>F158*AP158</f>
      </c>
      <c r="J158" s="45">
        <f>F158*G158</f>
      </c>
      <c r="K158" s="46" t="s">
        <v>52</v>
      </c>
      <c r="Z158" s="45">
        <f>IF(AQ158="5",BJ158,0)</f>
      </c>
      <c r="AB158" s="45">
        <f>IF(AQ158="1",BH158,0)</f>
      </c>
      <c r="AC158" s="45">
        <f>IF(AQ158="1",BI158,0)</f>
      </c>
      <c r="AD158" s="45">
        <f>IF(AQ158="7",BH158,0)</f>
      </c>
      <c r="AE158" s="45">
        <f>IF(AQ158="7",BI158,0)</f>
      </c>
      <c r="AF158" s="45">
        <f>IF(AQ158="2",BH158,0)</f>
      </c>
      <c r="AG158" s="45">
        <f>IF(AQ158="2",BI158,0)</f>
      </c>
      <c r="AH158" s="45">
        <f>IF(AQ158="0",BJ158,0)</f>
      </c>
      <c r="AI158" s="28" t="s">
        <v>45</v>
      </c>
      <c r="AJ158" s="45">
        <f>IF(AN158=0,J158,0)</f>
      </c>
      <c r="AK158" s="45">
        <f>IF(AN158=12,J158,0)</f>
      </c>
      <c r="AL158" s="45">
        <f>IF(AN158=21,J158,0)</f>
      </c>
      <c r="AN158" s="45" t="n">
        <v>12</v>
      </c>
      <c r="AO158" s="45">
        <f>G158*0.244306896</f>
      </c>
      <c r="AP158" s="45">
        <f>G158*(1-0.244306896)</f>
      </c>
      <c r="AQ158" s="47" t="s">
        <v>53</v>
      </c>
      <c r="AV158" s="45">
        <f>AW158+AX158</f>
      </c>
      <c r="AW158" s="45">
        <f>F158*AO158</f>
      </c>
      <c r="AX158" s="45">
        <f>F158*AP158</f>
      </c>
      <c r="AY158" s="47" t="s">
        <v>320</v>
      </c>
      <c r="AZ158" s="47" t="s">
        <v>55</v>
      </c>
      <c r="BA158" s="28" t="s">
        <v>56</v>
      </c>
      <c r="BC158" s="45">
        <f>AW158+AX158</f>
      </c>
      <c r="BD158" s="45">
        <f>G158/(100-BE158)*100</f>
      </c>
      <c r="BE158" s="45" t="n">
        <v>0</v>
      </c>
      <c r="BF158" s="45">
        <f>158</f>
      </c>
      <c r="BH158" s="45">
        <f>F158*AO158</f>
      </c>
      <c r="BI158" s="45">
        <f>F158*AP158</f>
      </c>
      <c r="BJ158" s="45">
        <f>F158*G158</f>
      </c>
      <c r="BK158" s="45"/>
      <c r="BL158" s="45" t="n">
        <v>725</v>
      </c>
      <c r="BW158" s="45" t="n">
        <v>12</v>
      </c>
      <c r="BX158" s="14" t="s">
        <v>428</v>
      </c>
    </row>
    <row r="159">
      <c r="A159" s="9" t="s">
        <v>429</v>
      </c>
      <c r="B159" s="10" t="s">
        <v>430</v>
      </c>
      <c r="C159" s="14" t="s">
        <v>431</v>
      </c>
      <c r="D159" s="10"/>
      <c r="E159" s="10" t="s">
        <v>319</v>
      </c>
      <c r="F159" s="45" t="n">
        <v>1</v>
      </c>
      <c r="G159" s="45" t="n">
        <v>0</v>
      </c>
      <c r="H159" s="45">
        <f>F159*AO159</f>
      </c>
      <c r="I159" s="45">
        <f>F159*AP159</f>
      </c>
      <c r="J159" s="45">
        <f>F159*G159</f>
      </c>
      <c r="K159" s="46" t="s">
        <v>52</v>
      </c>
      <c r="Z159" s="45">
        <f>IF(AQ159="5",BJ159,0)</f>
      </c>
      <c r="AB159" s="45">
        <f>IF(AQ159="1",BH159,0)</f>
      </c>
      <c r="AC159" s="45">
        <f>IF(AQ159="1",BI159,0)</f>
      </c>
      <c r="AD159" s="45">
        <f>IF(AQ159="7",BH159,0)</f>
      </c>
      <c r="AE159" s="45">
        <f>IF(AQ159="7",BI159,0)</f>
      </c>
      <c r="AF159" s="45">
        <f>IF(AQ159="2",BH159,0)</f>
      </c>
      <c r="AG159" s="45">
        <f>IF(AQ159="2",BI159,0)</f>
      </c>
      <c r="AH159" s="45">
        <f>IF(AQ159="0",BJ159,0)</f>
      </c>
      <c r="AI159" s="28" t="s">
        <v>45</v>
      </c>
      <c r="AJ159" s="45">
        <f>IF(AN159=0,J159,0)</f>
      </c>
      <c r="AK159" s="45">
        <f>IF(AN159=12,J159,0)</f>
      </c>
      <c r="AL159" s="45">
        <f>IF(AN159=21,J159,0)</f>
      </c>
      <c r="AN159" s="45" t="n">
        <v>12</v>
      </c>
      <c r="AO159" s="45">
        <f>G159*0.889170219</f>
      </c>
      <c r="AP159" s="45">
        <f>G159*(1-0.889170219)</f>
      </c>
      <c r="AQ159" s="47" t="s">
        <v>53</v>
      </c>
      <c r="AV159" s="45">
        <f>AW159+AX159</f>
      </c>
      <c r="AW159" s="45">
        <f>F159*AO159</f>
      </c>
      <c r="AX159" s="45">
        <f>F159*AP159</f>
      </c>
      <c r="AY159" s="47" t="s">
        <v>320</v>
      </c>
      <c r="AZ159" s="47" t="s">
        <v>55</v>
      </c>
      <c r="BA159" s="28" t="s">
        <v>56</v>
      </c>
      <c r="BC159" s="45">
        <f>AW159+AX159</f>
      </c>
      <c r="BD159" s="45">
        <f>G159/(100-BE159)*100</f>
      </c>
      <c r="BE159" s="45" t="n">
        <v>0</v>
      </c>
      <c r="BF159" s="45">
        <f>159</f>
      </c>
      <c r="BH159" s="45">
        <f>F159*AO159</f>
      </c>
      <c r="BI159" s="45">
        <f>F159*AP159</f>
      </c>
      <c r="BJ159" s="45">
        <f>F159*G159</f>
      </c>
      <c r="BK159" s="45"/>
      <c r="BL159" s="45" t="n">
        <v>725</v>
      </c>
      <c r="BW159" s="45" t="n">
        <v>12</v>
      </c>
      <c r="BX159" s="14" t="s">
        <v>431</v>
      </c>
    </row>
    <row r="160" customHeight="true" ht="13.5">
      <c r="A160" s="48"/>
      <c r="B160" s="49" t="s">
        <v>119</v>
      </c>
      <c r="C160" s="50" t="s">
        <v>432</v>
      </c>
      <c r="D160" s="51"/>
      <c r="E160" s="51"/>
      <c r="F160" s="51"/>
      <c r="G160" s="51"/>
      <c r="H160" s="51"/>
      <c r="I160" s="51"/>
      <c r="J160" s="51"/>
      <c r="K160" s="52"/>
    </row>
    <row r="161" ht="24.75">
      <c r="A161" s="9" t="s">
        <v>433</v>
      </c>
      <c r="B161" s="10" t="s">
        <v>434</v>
      </c>
      <c r="C161" s="14" t="s">
        <v>435</v>
      </c>
      <c r="D161" s="10"/>
      <c r="E161" s="10" t="s">
        <v>319</v>
      </c>
      <c r="F161" s="45" t="n">
        <v>1</v>
      </c>
      <c r="G161" s="45" t="n">
        <v>0</v>
      </c>
      <c r="H161" s="45">
        <f>F161*AO161</f>
      </c>
      <c r="I161" s="45">
        <f>F161*AP161</f>
      </c>
      <c r="J161" s="45">
        <f>F161*G161</f>
      </c>
      <c r="K161" s="46" t="s">
        <v>52</v>
      </c>
      <c r="Z161" s="45">
        <f>IF(AQ161="5",BJ161,0)</f>
      </c>
      <c r="AB161" s="45">
        <f>IF(AQ161="1",BH161,0)</f>
      </c>
      <c r="AC161" s="45">
        <f>IF(AQ161="1",BI161,0)</f>
      </c>
      <c r="AD161" s="45">
        <f>IF(AQ161="7",BH161,0)</f>
      </c>
      <c r="AE161" s="45">
        <f>IF(AQ161="7",BI161,0)</f>
      </c>
      <c r="AF161" s="45">
        <f>IF(AQ161="2",BH161,0)</f>
      </c>
      <c r="AG161" s="45">
        <f>IF(AQ161="2",BI161,0)</f>
      </c>
      <c r="AH161" s="45">
        <f>IF(AQ161="0",BJ161,0)</f>
      </c>
      <c r="AI161" s="28" t="s">
        <v>45</v>
      </c>
      <c r="AJ161" s="45">
        <f>IF(AN161=0,J161,0)</f>
      </c>
      <c r="AK161" s="45">
        <f>IF(AN161=12,J161,0)</f>
      </c>
      <c r="AL161" s="45">
        <f>IF(AN161=21,J161,0)</f>
      </c>
      <c r="AN161" s="45" t="n">
        <v>12</v>
      </c>
      <c r="AO161" s="45">
        <f>G161*0.884759446</f>
      </c>
      <c r="AP161" s="45">
        <f>G161*(1-0.884759446)</f>
      </c>
      <c r="AQ161" s="47" t="s">
        <v>53</v>
      </c>
      <c r="AV161" s="45">
        <f>AW161+AX161</f>
      </c>
      <c r="AW161" s="45">
        <f>F161*AO161</f>
      </c>
      <c r="AX161" s="45">
        <f>F161*AP161</f>
      </c>
      <c r="AY161" s="47" t="s">
        <v>320</v>
      </c>
      <c r="AZ161" s="47" t="s">
        <v>55</v>
      </c>
      <c r="BA161" s="28" t="s">
        <v>56</v>
      </c>
      <c r="BC161" s="45">
        <f>AW161+AX161</f>
      </c>
      <c r="BD161" s="45">
        <f>G161/(100-BE161)*100</f>
      </c>
      <c r="BE161" s="45" t="n">
        <v>0</v>
      </c>
      <c r="BF161" s="45">
        <f>161</f>
      </c>
      <c r="BH161" s="45">
        <f>F161*AO161</f>
      </c>
      <c r="BI161" s="45">
        <f>F161*AP161</f>
      </c>
      <c r="BJ161" s="45">
        <f>F161*G161</f>
      </c>
      <c r="BK161" s="45"/>
      <c r="BL161" s="45" t="n">
        <v>725</v>
      </c>
      <c r="BW161" s="45" t="n">
        <v>12</v>
      </c>
      <c r="BX161" s="14" t="s">
        <v>435</v>
      </c>
    </row>
    <row r="162">
      <c r="A162" s="9" t="s">
        <v>436</v>
      </c>
      <c r="B162" s="10" t="s">
        <v>333</v>
      </c>
      <c r="C162" s="14" t="s">
        <v>437</v>
      </c>
      <c r="D162" s="10"/>
      <c r="E162" s="10" t="s">
        <v>319</v>
      </c>
      <c r="F162" s="45" t="n">
        <v>1</v>
      </c>
      <c r="G162" s="45" t="n">
        <v>0</v>
      </c>
      <c r="H162" s="45">
        <f>F162*AO162</f>
      </c>
      <c r="I162" s="45">
        <f>F162*AP162</f>
      </c>
      <c r="J162" s="45">
        <f>F162*G162</f>
      </c>
      <c r="K162" s="46" t="s">
        <v>52</v>
      </c>
      <c r="Z162" s="45">
        <f>IF(AQ162="5",BJ162,0)</f>
      </c>
      <c r="AB162" s="45">
        <f>IF(AQ162="1",BH162,0)</f>
      </c>
      <c r="AC162" s="45">
        <f>IF(AQ162="1",BI162,0)</f>
      </c>
      <c r="AD162" s="45">
        <f>IF(AQ162="7",BH162,0)</f>
      </c>
      <c r="AE162" s="45">
        <f>IF(AQ162="7",BI162,0)</f>
      </c>
      <c r="AF162" s="45">
        <f>IF(AQ162="2",BH162,0)</f>
      </c>
      <c r="AG162" s="45">
        <f>IF(AQ162="2",BI162,0)</f>
      </c>
      <c r="AH162" s="45">
        <f>IF(AQ162="0",BJ162,0)</f>
      </c>
      <c r="AI162" s="28" t="s">
        <v>45</v>
      </c>
      <c r="AJ162" s="45">
        <f>IF(AN162=0,J162,0)</f>
      </c>
      <c r="AK162" s="45">
        <f>IF(AN162=12,J162,0)</f>
      </c>
      <c r="AL162" s="45">
        <f>IF(AN162=21,J162,0)</f>
      </c>
      <c r="AN162" s="45" t="n">
        <v>12</v>
      </c>
      <c r="AO162" s="45">
        <f>G162*0.235612577</f>
      </c>
      <c r="AP162" s="45">
        <f>G162*(1-0.235612577)</f>
      </c>
      <c r="AQ162" s="47" t="s">
        <v>53</v>
      </c>
      <c r="AV162" s="45">
        <f>AW162+AX162</f>
      </c>
      <c r="AW162" s="45">
        <f>F162*AO162</f>
      </c>
      <c r="AX162" s="45">
        <f>F162*AP162</f>
      </c>
      <c r="AY162" s="47" t="s">
        <v>320</v>
      </c>
      <c r="AZ162" s="47" t="s">
        <v>55</v>
      </c>
      <c r="BA162" s="28" t="s">
        <v>56</v>
      </c>
      <c r="BC162" s="45">
        <f>AW162+AX162</f>
      </c>
      <c r="BD162" s="45">
        <f>G162/(100-BE162)*100</f>
      </c>
      <c r="BE162" s="45" t="n">
        <v>0</v>
      </c>
      <c r="BF162" s="45">
        <f>162</f>
      </c>
      <c r="BH162" s="45">
        <f>F162*AO162</f>
      </c>
      <c r="BI162" s="45">
        <f>F162*AP162</f>
      </c>
      <c r="BJ162" s="45">
        <f>F162*G162</f>
      </c>
      <c r="BK162" s="45"/>
      <c r="BL162" s="45" t="n">
        <v>725</v>
      </c>
      <c r="BW162" s="45" t="n">
        <v>12</v>
      </c>
      <c r="BX162" s="14" t="s">
        <v>437</v>
      </c>
    </row>
    <row r="163">
      <c r="A163" s="9" t="s">
        <v>438</v>
      </c>
      <c r="B163" s="10" t="s">
        <v>439</v>
      </c>
      <c r="C163" s="14" t="s">
        <v>440</v>
      </c>
      <c r="D163" s="10"/>
      <c r="E163" s="10" t="s">
        <v>111</v>
      </c>
      <c r="F163" s="45" t="n">
        <v>1</v>
      </c>
      <c r="G163" s="45" t="n">
        <v>0</v>
      </c>
      <c r="H163" s="45">
        <f>F163*AO163</f>
      </c>
      <c r="I163" s="45">
        <f>F163*AP163</f>
      </c>
      <c r="J163" s="45">
        <f>F163*G163</f>
      </c>
      <c r="K163" s="46" t="s">
        <v>52</v>
      </c>
      <c r="Z163" s="45">
        <f>IF(AQ163="5",BJ163,0)</f>
      </c>
      <c r="AB163" s="45">
        <f>IF(AQ163="1",BH163,0)</f>
      </c>
      <c r="AC163" s="45">
        <f>IF(AQ163="1",BI163,0)</f>
      </c>
      <c r="AD163" s="45">
        <f>IF(AQ163="7",BH163,0)</f>
      </c>
      <c r="AE163" s="45">
        <f>IF(AQ163="7",BI163,0)</f>
      </c>
      <c r="AF163" s="45">
        <f>IF(AQ163="2",BH163,0)</f>
      </c>
      <c r="AG163" s="45">
        <f>IF(AQ163="2",BI163,0)</f>
      </c>
      <c r="AH163" s="45">
        <f>IF(AQ163="0",BJ163,0)</f>
      </c>
      <c r="AI163" s="28" t="s">
        <v>45</v>
      </c>
      <c r="AJ163" s="45">
        <f>IF(AN163=0,J163,0)</f>
      </c>
      <c r="AK163" s="45">
        <f>IF(AN163=12,J163,0)</f>
      </c>
      <c r="AL163" s="45">
        <f>IF(AN163=21,J163,0)</f>
      </c>
      <c r="AN163" s="45" t="n">
        <v>12</v>
      </c>
      <c r="AO163" s="45">
        <f>G163*0.780890523</f>
      </c>
      <c r="AP163" s="45">
        <f>G163*(1-0.780890523)</f>
      </c>
      <c r="AQ163" s="47" t="s">
        <v>53</v>
      </c>
      <c r="AV163" s="45">
        <f>AW163+AX163</f>
      </c>
      <c r="AW163" s="45">
        <f>F163*AO163</f>
      </c>
      <c r="AX163" s="45">
        <f>F163*AP163</f>
      </c>
      <c r="AY163" s="47" t="s">
        <v>320</v>
      </c>
      <c r="AZ163" s="47" t="s">
        <v>55</v>
      </c>
      <c r="BA163" s="28" t="s">
        <v>56</v>
      </c>
      <c r="BC163" s="45">
        <f>AW163+AX163</f>
      </c>
      <c r="BD163" s="45">
        <f>G163/(100-BE163)*100</f>
      </c>
      <c r="BE163" s="45" t="n">
        <v>0</v>
      </c>
      <c r="BF163" s="45">
        <f>163</f>
      </c>
      <c r="BH163" s="45">
        <f>F163*AO163</f>
      </c>
      <c r="BI163" s="45">
        <f>F163*AP163</f>
      </c>
      <c r="BJ163" s="45">
        <f>F163*G163</f>
      </c>
      <c r="BK163" s="45"/>
      <c r="BL163" s="45" t="n">
        <v>725</v>
      </c>
      <c r="BW163" s="45" t="n">
        <v>12</v>
      </c>
      <c r="BX163" s="14" t="s">
        <v>440</v>
      </c>
    </row>
    <row r="164" customHeight="true" ht="13.5">
      <c r="A164" s="48"/>
      <c r="B164" s="49" t="s">
        <v>119</v>
      </c>
      <c r="C164" s="50" t="s">
        <v>441</v>
      </c>
      <c r="D164" s="51"/>
      <c r="E164" s="51"/>
      <c r="F164" s="51"/>
      <c r="G164" s="51"/>
      <c r="H164" s="51"/>
      <c r="I164" s="51"/>
      <c r="J164" s="51"/>
      <c r="K164" s="52"/>
    </row>
    <row r="165">
      <c r="A165" s="9" t="s">
        <v>442</v>
      </c>
      <c r="B165" s="10" t="s">
        <v>443</v>
      </c>
      <c r="C165" s="14" t="s">
        <v>444</v>
      </c>
      <c r="D165" s="10"/>
      <c r="E165" s="10" t="s">
        <v>111</v>
      </c>
      <c r="F165" s="45" t="n">
        <v>1</v>
      </c>
      <c r="G165" s="45" t="n">
        <v>0</v>
      </c>
      <c r="H165" s="45">
        <f>F165*AO165</f>
      </c>
      <c r="I165" s="45">
        <f>F165*AP165</f>
      </c>
      <c r="J165" s="45">
        <f>F165*G165</f>
      </c>
      <c r="K165" s="46" t="s">
        <v>52</v>
      </c>
      <c r="Z165" s="45">
        <f>IF(AQ165="5",BJ165,0)</f>
      </c>
      <c r="AB165" s="45">
        <f>IF(AQ165="1",BH165,0)</f>
      </c>
      <c r="AC165" s="45">
        <f>IF(AQ165="1",BI165,0)</f>
      </c>
      <c r="AD165" s="45">
        <f>IF(AQ165="7",BH165,0)</f>
      </c>
      <c r="AE165" s="45">
        <f>IF(AQ165="7",BI165,0)</f>
      </c>
      <c r="AF165" s="45">
        <f>IF(AQ165="2",BH165,0)</f>
      </c>
      <c r="AG165" s="45">
        <f>IF(AQ165="2",BI165,0)</f>
      </c>
      <c r="AH165" s="45">
        <f>IF(AQ165="0",BJ165,0)</f>
      </c>
      <c r="AI165" s="28" t="s">
        <v>45</v>
      </c>
      <c r="AJ165" s="45">
        <f>IF(AN165=0,J165,0)</f>
      </c>
      <c r="AK165" s="45">
        <f>IF(AN165=12,J165,0)</f>
      </c>
      <c r="AL165" s="45">
        <f>IF(AN165=21,J165,0)</f>
      </c>
      <c r="AN165" s="45" t="n">
        <v>12</v>
      </c>
      <c r="AO165" s="45">
        <f>G165*0.016183783</f>
      </c>
      <c r="AP165" s="45">
        <f>G165*(1-0.016183783)</f>
      </c>
      <c r="AQ165" s="47" t="s">
        <v>53</v>
      </c>
      <c r="AV165" s="45">
        <f>AW165+AX165</f>
      </c>
      <c r="AW165" s="45">
        <f>F165*AO165</f>
      </c>
      <c r="AX165" s="45">
        <f>F165*AP165</f>
      </c>
      <c r="AY165" s="47" t="s">
        <v>320</v>
      </c>
      <c r="AZ165" s="47" t="s">
        <v>55</v>
      </c>
      <c r="BA165" s="28" t="s">
        <v>56</v>
      </c>
      <c r="BC165" s="45">
        <f>AW165+AX165</f>
      </c>
      <c r="BD165" s="45">
        <f>G165/(100-BE165)*100</f>
      </c>
      <c r="BE165" s="45" t="n">
        <v>0</v>
      </c>
      <c r="BF165" s="45">
        <f>165</f>
      </c>
      <c r="BH165" s="45">
        <f>F165*AO165</f>
      </c>
      <c r="BI165" s="45">
        <f>F165*AP165</f>
      </c>
      <c r="BJ165" s="45">
        <f>F165*G165</f>
      </c>
      <c r="BK165" s="45"/>
      <c r="BL165" s="45" t="n">
        <v>725</v>
      </c>
      <c r="BW165" s="45" t="n">
        <v>12</v>
      </c>
      <c r="BX165" s="14" t="s">
        <v>444</v>
      </c>
    </row>
    <row r="166">
      <c r="A166" s="9" t="s">
        <v>445</v>
      </c>
      <c r="B166" s="10" t="s">
        <v>330</v>
      </c>
      <c r="C166" s="14" t="s">
        <v>331</v>
      </c>
      <c r="D166" s="10"/>
      <c r="E166" s="10" t="s">
        <v>319</v>
      </c>
      <c r="F166" s="45" t="n">
        <v>1</v>
      </c>
      <c r="G166" s="45" t="n">
        <v>0</v>
      </c>
      <c r="H166" s="45">
        <f>F166*AO166</f>
      </c>
      <c r="I166" s="45">
        <f>F166*AP166</f>
      </c>
      <c r="J166" s="45">
        <f>F166*G166</f>
      </c>
      <c r="K166" s="46" t="s">
        <v>52</v>
      </c>
      <c r="Z166" s="45">
        <f>IF(AQ166="5",BJ166,0)</f>
      </c>
      <c r="AB166" s="45">
        <f>IF(AQ166="1",BH166,0)</f>
      </c>
      <c r="AC166" s="45">
        <f>IF(AQ166="1",BI166,0)</f>
      </c>
      <c r="AD166" s="45">
        <f>IF(AQ166="7",BH166,0)</f>
      </c>
      <c r="AE166" s="45">
        <f>IF(AQ166="7",BI166,0)</f>
      </c>
      <c r="AF166" s="45">
        <f>IF(AQ166="2",BH166,0)</f>
      </c>
      <c r="AG166" s="45">
        <f>IF(AQ166="2",BI166,0)</f>
      </c>
      <c r="AH166" s="45">
        <f>IF(AQ166="0",BJ166,0)</f>
      </c>
      <c r="AI166" s="28" t="s">
        <v>45</v>
      </c>
      <c r="AJ166" s="45">
        <f>IF(AN166=0,J166,0)</f>
      </c>
      <c r="AK166" s="45">
        <f>IF(AN166=12,J166,0)</f>
      </c>
      <c r="AL166" s="45">
        <f>IF(AN166=21,J166,0)</f>
      </c>
      <c r="AN166" s="45" t="n">
        <v>12</v>
      </c>
      <c r="AO166" s="45">
        <f>G166*0</f>
      </c>
      <c r="AP166" s="45">
        <f>G166*(1-0)</f>
      </c>
      <c r="AQ166" s="47" t="s">
        <v>53</v>
      </c>
      <c r="AV166" s="45">
        <f>AW166+AX166</f>
      </c>
      <c r="AW166" s="45">
        <f>F166*AO166</f>
      </c>
      <c r="AX166" s="45">
        <f>F166*AP166</f>
      </c>
      <c r="AY166" s="47" t="s">
        <v>320</v>
      </c>
      <c r="AZ166" s="47" t="s">
        <v>55</v>
      </c>
      <c r="BA166" s="28" t="s">
        <v>56</v>
      </c>
      <c r="BC166" s="45">
        <f>AW166+AX166</f>
      </c>
      <c r="BD166" s="45">
        <f>G166/(100-BE166)*100</f>
      </c>
      <c r="BE166" s="45" t="n">
        <v>0</v>
      </c>
      <c r="BF166" s="45">
        <f>166</f>
      </c>
      <c r="BH166" s="45">
        <f>F166*AO166</f>
      </c>
      <c r="BI166" s="45">
        <f>F166*AP166</f>
      </c>
      <c r="BJ166" s="45">
        <f>F166*G166</f>
      </c>
      <c r="BK166" s="45"/>
      <c r="BL166" s="45" t="n">
        <v>725</v>
      </c>
      <c r="BW166" s="45" t="n">
        <v>12</v>
      </c>
      <c r="BX166" s="14" t="s">
        <v>331</v>
      </c>
    </row>
    <row r="167" ht="24.75">
      <c r="A167" s="9" t="s">
        <v>446</v>
      </c>
      <c r="B167" s="10" t="s">
        <v>447</v>
      </c>
      <c r="C167" s="14" t="s">
        <v>448</v>
      </c>
      <c r="D167" s="10"/>
      <c r="E167" s="10" t="s">
        <v>319</v>
      </c>
      <c r="F167" s="45" t="n">
        <v>1</v>
      </c>
      <c r="G167" s="45" t="n">
        <v>0</v>
      </c>
      <c r="H167" s="45">
        <f>F167*AO167</f>
      </c>
      <c r="I167" s="45">
        <f>F167*AP167</f>
      </c>
      <c r="J167" s="45">
        <f>F167*G167</f>
      </c>
      <c r="K167" s="46" t="s">
        <v>52</v>
      </c>
      <c r="Z167" s="45">
        <f>IF(AQ167="5",BJ167,0)</f>
      </c>
      <c r="AB167" s="45">
        <f>IF(AQ167="1",BH167,0)</f>
      </c>
      <c r="AC167" s="45">
        <f>IF(AQ167="1",BI167,0)</f>
      </c>
      <c r="AD167" s="45">
        <f>IF(AQ167="7",BH167,0)</f>
      </c>
      <c r="AE167" s="45">
        <f>IF(AQ167="7",BI167,0)</f>
      </c>
      <c r="AF167" s="45">
        <f>IF(AQ167="2",BH167,0)</f>
      </c>
      <c r="AG167" s="45">
        <f>IF(AQ167="2",BI167,0)</f>
      </c>
      <c r="AH167" s="45">
        <f>IF(AQ167="0",BJ167,0)</f>
      </c>
      <c r="AI167" s="28" t="s">
        <v>45</v>
      </c>
      <c r="AJ167" s="45">
        <f>IF(AN167=0,J167,0)</f>
      </c>
      <c r="AK167" s="45">
        <f>IF(AN167=12,J167,0)</f>
      </c>
      <c r="AL167" s="45">
        <f>IF(AN167=21,J167,0)</f>
      </c>
      <c r="AN167" s="45" t="n">
        <v>12</v>
      </c>
      <c r="AO167" s="45">
        <f>G167*0.977992188</f>
      </c>
      <c r="AP167" s="45">
        <f>G167*(1-0.977992188)</f>
      </c>
      <c r="AQ167" s="47" t="s">
        <v>53</v>
      </c>
      <c r="AV167" s="45">
        <f>AW167+AX167</f>
      </c>
      <c r="AW167" s="45">
        <f>F167*AO167</f>
      </c>
      <c r="AX167" s="45">
        <f>F167*AP167</f>
      </c>
      <c r="AY167" s="47" t="s">
        <v>320</v>
      </c>
      <c r="AZ167" s="47" t="s">
        <v>55</v>
      </c>
      <c r="BA167" s="28" t="s">
        <v>56</v>
      </c>
      <c r="BC167" s="45">
        <f>AW167+AX167</f>
      </c>
      <c r="BD167" s="45">
        <f>G167/(100-BE167)*100</f>
      </c>
      <c r="BE167" s="45" t="n">
        <v>0</v>
      </c>
      <c r="BF167" s="45">
        <f>167</f>
      </c>
      <c r="BH167" s="45">
        <f>F167*AO167</f>
      </c>
      <c r="BI167" s="45">
        <f>F167*AP167</f>
      </c>
      <c r="BJ167" s="45">
        <f>F167*G167</f>
      </c>
      <c r="BK167" s="45"/>
      <c r="BL167" s="45" t="n">
        <v>725</v>
      </c>
      <c r="BW167" s="45" t="n">
        <v>12</v>
      </c>
      <c r="BX167" s="14" t="s">
        <v>448</v>
      </c>
    </row>
    <row r="168" customHeight="true" ht="13.5">
      <c r="A168" s="48"/>
      <c r="B168" s="49" t="s">
        <v>119</v>
      </c>
      <c r="C168" s="50" t="s">
        <v>449</v>
      </c>
      <c r="D168" s="51"/>
      <c r="E168" s="51"/>
      <c r="F168" s="51"/>
      <c r="G168" s="51"/>
      <c r="H168" s="51"/>
      <c r="I168" s="51"/>
      <c r="J168" s="51"/>
      <c r="K168" s="52"/>
    </row>
    <row r="169">
      <c r="A169" s="9" t="s">
        <v>450</v>
      </c>
      <c r="B169" s="10" t="s">
        <v>451</v>
      </c>
      <c r="C169" s="14" t="s">
        <v>452</v>
      </c>
      <c r="D169" s="10"/>
      <c r="E169" s="10" t="s">
        <v>319</v>
      </c>
      <c r="F169" s="45" t="n">
        <v>1</v>
      </c>
      <c r="G169" s="45" t="n">
        <v>0</v>
      </c>
      <c r="H169" s="45">
        <f>F169*AO169</f>
      </c>
      <c r="I169" s="45">
        <f>F169*AP169</f>
      </c>
      <c r="J169" s="45">
        <f>F169*G169</f>
      </c>
      <c r="K169" s="46" t="s">
        <v>52</v>
      </c>
      <c r="Z169" s="45">
        <f>IF(AQ169="5",BJ169,0)</f>
      </c>
      <c r="AB169" s="45">
        <f>IF(AQ169="1",BH169,0)</f>
      </c>
      <c r="AC169" s="45">
        <f>IF(AQ169="1",BI169,0)</f>
      </c>
      <c r="AD169" s="45">
        <f>IF(AQ169="7",BH169,0)</f>
      </c>
      <c r="AE169" s="45">
        <f>IF(AQ169="7",BI169,0)</f>
      </c>
      <c r="AF169" s="45">
        <f>IF(AQ169="2",BH169,0)</f>
      </c>
      <c r="AG169" s="45">
        <f>IF(AQ169="2",BI169,0)</f>
      </c>
      <c r="AH169" s="45">
        <f>IF(AQ169="0",BJ169,0)</f>
      </c>
      <c r="AI169" s="28" t="s">
        <v>45</v>
      </c>
      <c r="AJ169" s="45">
        <f>IF(AN169=0,J169,0)</f>
      </c>
      <c r="AK169" s="45">
        <f>IF(AN169=12,J169,0)</f>
      </c>
      <c r="AL169" s="45">
        <f>IF(AN169=21,J169,0)</f>
      </c>
      <c r="AN169" s="45" t="n">
        <v>12</v>
      </c>
      <c r="AO169" s="45">
        <f>G169*0.711264985</f>
      </c>
      <c r="AP169" s="45">
        <f>G169*(1-0.711264985)</f>
      </c>
      <c r="AQ169" s="47" t="s">
        <v>53</v>
      </c>
      <c r="AV169" s="45">
        <f>AW169+AX169</f>
      </c>
      <c r="AW169" s="45">
        <f>F169*AO169</f>
      </c>
      <c r="AX169" s="45">
        <f>F169*AP169</f>
      </c>
      <c r="AY169" s="47" t="s">
        <v>320</v>
      </c>
      <c r="AZ169" s="47" t="s">
        <v>55</v>
      </c>
      <c r="BA169" s="28" t="s">
        <v>56</v>
      </c>
      <c r="BC169" s="45">
        <f>AW169+AX169</f>
      </c>
      <c r="BD169" s="45">
        <f>G169/(100-BE169)*100</f>
      </c>
      <c r="BE169" s="45" t="n">
        <v>0</v>
      </c>
      <c r="BF169" s="45">
        <f>169</f>
      </c>
      <c r="BH169" s="45">
        <f>F169*AO169</f>
      </c>
      <c r="BI169" s="45">
        <f>F169*AP169</f>
      </c>
      <c r="BJ169" s="45">
        <f>F169*G169</f>
      </c>
      <c r="BK169" s="45"/>
      <c r="BL169" s="45" t="n">
        <v>725</v>
      </c>
      <c r="BW169" s="45" t="n">
        <v>12</v>
      </c>
      <c r="BX169" s="14" t="s">
        <v>452</v>
      </c>
    </row>
    <row r="170">
      <c r="A170" s="75" t="s">
        <v>453</v>
      </c>
      <c r="B170" s="76" t="s">
        <v>454</v>
      </c>
      <c r="C170" s="77" t="s">
        <v>455</v>
      </c>
      <c r="D170" s="76"/>
      <c r="E170" s="76" t="s">
        <v>167</v>
      </c>
      <c r="F170" s="78" t="n">
        <v>0.6321</v>
      </c>
      <c r="G170" s="78" t="n">
        <v>0</v>
      </c>
      <c r="H170" s="78">
        <f>F170*AO170</f>
      </c>
      <c r="I170" s="78">
        <f>F170*AP170</f>
      </c>
      <c r="J170" s="78">
        <f>F170*G170</f>
      </c>
      <c r="K170" s="79" t="s">
        <v>52</v>
      </c>
      <c r="Z170" s="45">
        <f>IF(AQ170="5",BJ170,0)</f>
      </c>
      <c r="AB170" s="45">
        <f>IF(AQ170="1",BH170,0)</f>
      </c>
      <c r="AC170" s="45">
        <f>IF(AQ170="1",BI170,0)</f>
      </c>
      <c r="AD170" s="45">
        <f>IF(AQ170="7",BH170,0)</f>
      </c>
      <c r="AE170" s="45">
        <f>IF(AQ170="7",BI170,0)</f>
      </c>
      <c r="AF170" s="45">
        <f>IF(AQ170="2",BH170,0)</f>
      </c>
      <c r="AG170" s="45">
        <f>IF(AQ170="2",BI170,0)</f>
      </c>
      <c r="AH170" s="45">
        <f>IF(AQ170="0",BJ170,0)</f>
      </c>
      <c r="AI170" s="28" t="s">
        <v>45</v>
      </c>
      <c r="AJ170" s="45">
        <f>IF(AN170=0,J170,0)</f>
      </c>
      <c r="AK170" s="45">
        <f>IF(AN170=12,J170,0)</f>
      </c>
      <c r="AL170" s="45">
        <f>IF(AN170=21,J170,0)</f>
      </c>
      <c r="AN170" s="45" t="n">
        <v>12</v>
      </c>
      <c r="AO170" s="45">
        <f>G170*0</f>
      </c>
      <c r="AP170" s="45">
        <f>G170*(1-0)</f>
      </c>
      <c r="AQ170" s="47" t="s">
        <v>66</v>
      </c>
      <c r="AV170" s="45">
        <f>AW170+AX170</f>
      </c>
      <c r="AW170" s="45">
        <f>F170*AO170</f>
      </c>
      <c r="AX170" s="45">
        <f>F170*AP170</f>
      </c>
      <c r="AY170" s="47" t="s">
        <v>320</v>
      </c>
      <c r="AZ170" s="47" t="s">
        <v>55</v>
      </c>
      <c r="BA170" s="28" t="s">
        <v>56</v>
      </c>
      <c r="BC170" s="45">
        <f>AW170+AX170</f>
      </c>
      <c r="BD170" s="45">
        <f>G170/(100-BE170)*100</f>
      </c>
      <c r="BE170" s="45" t="n">
        <v>0</v>
      </c>
      <c r="BF170" s="45">
        <f>170</f>
      </c>
      <c r="BH170" s="45">
        <f>F170*AO170</f>
      </c>
      <c r="BI170" s="45">
        <f>F170*AP170</f>
      </c>
      <c r="BJ170" s="45">
        <f>F170*G170</f>
      </c>
      <c r="BK170" s="45"/>
      <c r="BL170" s="45" t="n">
        <v>725</v>
      </c>
      <c r="BW170" s="45" t="n">
        <v>12</v>
      </c>
      <c r="BX170" s="14" t="s">
        <v>455</v>
      </c>
    </row>
    <row r="171">
      <c r="H171" s="80" t="s">
        <v>456</v>
      </c>
      <c r="I171" s="80"/>
      <c r="J171" s="81">
        <f>J12+J52+J106</f>
      </c>
    </row>
    <row r="172">
      <c r="A172" s="82" t="s">
        <v>457</v>
      </c>
    </row>
    <row r="173" customHeight="true" ht="12.75">
      <c r="A173" s="14" t="s">
        <v>45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K34"/>
    <mergeCell ref="C35:D35"/>
    <mergeCell ref="C36:K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K46"/>
    <mergeCell ref="C47:D47"/>
    <mergeCell ref="C48:K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K73"/>
    <mergeCell ref="C74:D74"/>
    <mergeCell ref="C75:D75"/>
    <mergeCell ref="C76:K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K95"/>
    <mergeCell ref="C96:D96"/>
    <mergeCell ref="C97:K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K108"/>
    <mergeCell ref="C109:D109"/>
    <mergeCell ref="C110:K110"/>
    <mergeCell ref="C111:D111"/>
    <mergeCell ref="C112:K112"/>
    <mergeCell ref="C113:D113"/>
    <mergeCell ref="C114:D114"/>
    <mergeCell ref="C115:D115"/>
    <mergeCell ref="C116:K116"/>
    <mergeCell ref="C117:D117"/>
    <mergeCell ref="C118:K118"/>
    <mergeCell ref="C119:D119"/>
    <mergeCell ref="C120:K120"/>
    <mergeCell ref="C121:D121"/>
    <mergeCell ref="C122:K122"/>
    <mergeCell ref="C123:D123"/>
    <mergeCell ref="C124:K124"/>
    <mergeCell ref="C125:D125"/>
    <mergeCell ref="C126:K126"/>
    <mergeCell ref="C127:D127"/>
    <mergeCell ref="C128:K128"/>
    <mergeCell ref="C129:D129"/>
    <mergeCell ref="C130:D130"/>
    <mergeCell ref="C131:D131"/>
    <mergeCell ref="C132:D132"/>
    <mergeCell ref="C133:D133"/>
    <mergeCell ref="C134:K134"/>
    <mergeCell ref="C135:D135"/>
    <mergeCell ref="C136:D136"/>
    <mergeCell ref="C137:K137"/>
    <mergeCell ref="C138:D138"/>
    <mergeCell ref="C139:K139"/>
    <mergeCell ref="C140:D140"/>
    <mergeCell ref="C141:K141"/>
    <mergeCell ref="C142:D142"/>
    <mergeCell ref="C143:D143"/>
    <mergeCell ref="C144:D144"/>
    <mergeCell ref="C145:D145"/>
    <mergeCell ref="C146:K146"/>
    <mergeCell ref="C147:D147"/>
    <mergeCell ref="C148:D148"/>
    <mergeCell ref="C149:K149"/>
    <mergeCell ref="C150:D150"/>
    <mergeCell ref="C151:D151"/>
    <mergeCell ref="C152:D152"/>
    <mergeCell ref="C153:D153"/>
    <mergeCell ref="C157:D157"/>
    <mergeCell ref="C158:D158"/>
    <mergeCell ref="C159:D159"/>
    <mergeCell ref="C160:K160"/>
    <mergeCell ref="C161:D161"/>
    <mergeCell ref="C162:D162"/>
    <mergeCell ref="C163:D163"/>
    <mergeCell ref="C164:K164"/>
    <mergeCell ref="C165:D165"/>
    <mergeCell ref="C166:D166"/>
    <mergeCell ref="C167:D167"/>
    <mergeCell ref="C168:K168"/>
    <mergeCell ref="C169:D169"/>
    <mergeCell ref="C170:D170"/>
    <mergeCell ref="H171:I171"/>
    <mergeCell ref="A173:K173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83" t="s">
        <v>458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4</v>
      </c>
      <c r="F2" s="7">
        <f>'Stavební rozpočet'!I2</f>
      </c>
      <c r="G2" s="4"/>
      <c r="H2" s="7" t="s">
        <v>459</v>
      </c>
      <c r="I2" s="8" t="s">
        <v>45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459</v>
      </c>
      <c r="I4" s="12" t="s">
        <v>45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12</v>
      </c>
      <c r="F6" s="14">
        <f>'Stavební rozpočet'!I6</f>
      </c>
      <c r="G6" s="10"/>
      <c r="H6" s="14" t="s">
        <v>459</v>
      </c>
      <c r="I6" s="12" t="s">
        <v>45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rozpočet'!G4</f>
      </c>
      <c r="D8" s="10"/>
      <c r="E8" s="14" t="s">
        <v>11</v>
      </c>
      <c r="F8" s="14">
        <f>'Stavební rozpočet'!G6</f>
      </c>
      <c r="G8" s="10"/>
      <c r="H8" s="10" t="s">
        <v>460</v>
      </c>
      <c r="I8" s="84" t="n">
        <v>126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rozpočet'!C8</f>
      </c>
      <c r="D10" s="10"/>
      <c r="E10" s="14" t="s">
        <v>15</v>
      </c>
      <c r="F10" s="14">
        <f>'Stavební rozpočet'!I8</f>
      </c>
      <c r="G10" s="10"/>
      <c r="H10" s="10" t="s">
        <v>461</v>
      </c>
      <c r="I10" s="85">
        <f>'Stavební rozpočet'!G8</f>
      </c>
    </row>
    <row r="11">
      <c r="A11" s="75"/>
      <c r="B11" s="76"/>
      <c r="C11" s="76"/>
      <c r="D11" s="76"/>
      <c r="E11" s="76"/>
      <c r="F11" s="76"/>
      <c r="G11" s="76"/>
      <c r="H11" s="76"/>
      <c r="I11" s="86"/>
    </row>
    <row r="12">
      <c r="A12" s="87" t="s">
        <v>462</v>
      </c>
      <c r="B12" s="87"/>
      <c r="C12" s="87"/>
      <c r="D12" s="87"/>
      <c r="E12" s="87"/>
      <c r="F12" s="87"/>
      <c r="G12" s="87"/>
      <c r="H12" s="87"/>
      <c r="I12" s="87"/>
    </row>
    <row r="13" customHeight="true" ht="26.25">
      <c r="A13" s="88" t="s">
        <v>463</v>
      </c>
      <c r="B13" s="89" t="s">
        <v>464</v>
      </c>
      <c r="C13" s="90"/>
      <c r="D13" s="91" t="s">
        <v>465</v>
      </c>
      <c r="E13" s="89" t="s">
        <v>466</v>
      </c>
      <c r="F13" s="90"/>
      <c r="G13" s="91" t="s">
        <v>467</v>
      </c>
      <c r="H13" s="89" t="s">
        <v>468</v>
      </c>
      <c r="I13" s="90"/>
    </row>
    <row r="14">
      <c r="A14" s="92" t="s">
        <v>469</v>
      </c>
      <c r="B14" s="93" t="s">
        <v>470</v>
      </c>
      <c r="C14" s="94">
        <f>SUM('Stavební rozpočet'!AB12:AB170)</f>
      </c>
      <c r="D14" s="95" t="s">
        <v>471</v>
      </c>
      <c r="E14" s="96"/>
      <c r="F14" s="94">
        <f>VORN!I15</f>
      </c>
      <c r="G14" s="95" t="s">
        <v>472</v>
      </c>
      <c r="H14" s="96"/>
      <c r="I14" s="97">
        <f>VORN!I21</f>
      </c>
    </row>
    <row r="15">
      <c r="A15" s="98" t="s">
        <v>45</v>
      </c>
      <c r="B15" s="93" t="s">
        <v>30</v>
      </c>
      <c r="C15" s="94">
        <f>SUM('Stavební rozpočet'!AC12:AC170)</f>
      </c>
      <c r="D15" s="95" t="s">
        <v>473</v>
      </c>
      <c r="E15" s="96"/>
      <c r="F15" s="94">
        <f>VORN!I16</f>
      </c>
      <c r="G15" s="95" t="s">
        <v>474</v>
      </c>
      <c r="H15" s="96"/>
      <c r="I15" s="97">
        <f>VORN!I22</f>
      </c>
    </row>
    <row r="16">
      <c r="A16" s="92" t="s">
        <v>475</v>
      </c>
      <c r="B16" s="93" t="s">
        <v>470</v>
      </c>
      <c r="C16" s="94">
        <f>SUM('Stavební rozpočet'!AD12:AD170)</f>
      </c>
      <c r="D16" s="95" t="s">
        <v>476</v>
      </c>
      <c r="E16" s="96"/>
      <c r="F16" s="94">
        <f>VORN!I17</f>
      </c>
      <c r="G16" s="95" t="s">
        <v>477</v>
      </c>
      <c r="H16" s="96"/>
      <c r="I16" s="97">
        <f>VORN!I23</f>
      </c>
    </row>
    <row r="17">
      <c r="A17" s="98" t="s">
        <v>45</v>
      </c>
      <c r="B17" s="93" t="s">
        <v>30</v>
      </c>
      <c r="C17" s="94">
        <f>SUM('Stavební rozpočet'!AE12:AE170)</f>
      </c>
      <c r="D17" s="95" t="s">
        <v>45</v>
      </c>
      <c r="E17" s="96"/>
      <c r="F17" s="97" t="s">
        <v>45</v>
      </c>
      <c r="G17" s="95" t="s">
        <v>478</v>
      </c>
      <c r="H17" s="96"/>
      <c r="I17" s="97">
        <f>VORN!I24</f>
      </c>
    </row>
    <row r="18">
      <c r="A18" s="92" t="s">
        <v>479</v>
      </c>
      <c r="B18" s="93" t="s">
        <v>470</v>
      </c>
      <c r="C18" s="94">
        <f>SUM('Stavební rozpočet'!AF12:AF170)</f>
      </c>
      <c r="D18" s="95" t="s">
        <v>45</v>
      </c>
      <c r="E18" s="96"/>
      <c r="F18" s="97" t="s">
        <v>45</v>
      </c>
      <c r="G18" s="95" t="s">
        <v>480</v>
      </c>
      <c r="H18" s="96"/>
      <c r="I18" s="97">
        <f>VORN!I25</f>
      </c>
    </row>
    <row r="19">
      <c r="A19" s="98" t="s">
        <v>45</v>
      </c>
      <c r="B19" s="93" t="s">
        <v>30</v>
      </c>
      <c r="C19" s="94">
        <f>SUM('Stavební rozpočet'!AG12:AG170)</f>
      </c>
      <c r="D19" s="95" t="s">
        <v>45</v>
      </c>
      <c r="E19" s="96"/>
      <c r="F19" s="97" t="s">
        <v>45</v>
      </c>
      <c r="G19" s="95" t="s">
        <v>481</v>
      </c>
      <c r="H19" s="96"/>
      <c r="I19" s="97">
        <f>VORN!I26</f>
      </c>
    </row>
    <row r="20">
      <c r="A20" s="99" t="s">
        <v>482</v>
      </c>
      <c r="B20" s="100"/>
      <c r="C20" s="94">
        <f>SUM('Stavební rozpočet'!AH12:AH170)</f>
      </c>
      <c r="D20" s="95" t="s">
        <v>45</v>
      </c>
      <c r="E20" s="96"/>
      <c r="F20" s="97" t="s">
        <v>45</v>
      </c>
      <c r="G20" s="95" t="s">
        <v>45</v>
      </c>
      <c r="H20" s="96"/>
      <c r="I20" s="97" t="s">
        <v>45</v>
      </c>
    </row>
    <row r="21">
      <c r="A21" s="101" t="s">
        <v>483</v>
      </c>
      <c r="B21" s="102"/>
      <c r="C21" s="103">
        <f>SUM('Stavební rozpočet'!Z12:Z170)</f>
      </c>
      <c r="D21" s="104" t="s">
        <v>45</v>
      </c>
      <c r="E21" s="105"/>
      <c r="F21" s="106" t="s">
        <v>45</v>
      </c>
      <c r="G21" s="104" t="s">
        <v>45</v>
      </c>
      <c r="H21" s="105"/>
      <c r="I21" s="106" t="s">
        <v>45</v>
      </c>
    </row>
    <row r="22" customHeight="true" ht="16.5">
      <c r="A22" s="107" t="s">
        <v>484</v>
      </c>
      <c r="B22" s="108"/>
      <c r="C22" s="109">
        <f>SUM(C14:C21)</f>
      </c>
      <c r="D22" s="110" t="s">
        <v>485</v>
      </c>
      <c r="E22" s="108"/>
      <c r="F22" s="109">
        <f>SUM(F14:F21)</f>
      </c>
      <c r="G22" s="110" t="s">
        <v>486</v>
      </c>
      <c r="H22" s="108"/>
      <c r="I22" s="109">
        <f>SUM(I14:I21)</f>
      </c>
    </row>
    <row r="23">
      <c r="D23" s="99" t="s">
        <v>487</v>
      </c>
      <c r="E23" s="100"/>
      <c r="F23" s="111" t="n">
        <v>0</v>
      </c>
      <c r="G23" s="112" t="s">
        <v>488</v>
      </c>
      <c r="H23" s="100"/>
      <c r="I23" s="94" t="n">
        <v>0</v>
      </c>
    </row>
    <row r="24">
      <c r="G24" s="99" t="s">
        <v>489</v>
      </c>
      <c r="H24" s="100"/>
      <c r="I24" s="103">
        <f>vorn_sum</f>
      </c>
    </row>
    <row r="25">
      <c r="G25" s="99" t="s">
        <v>490</v>
      </c>
      <c r="H25" s="100"/>
      <c r="I25" s="109" t="n">
        <v>0</v>
      </c>
    </row>
    <row r="27">
      <c r="A27" s="113" t="s">
        <v>491</v>
      </c>
      <c r="B27" s="114"/>
      <c r="C27" s="115">
        <f>SUM('Stavební rozpočet'!AJ12:AJ170)</f>
      </c>
    </row>
    <row r="28">
      <c r="A28" s="116" t="s">
        <v>492</v>
      </c>
      <c r="B28" s="117"/>
      <c r="C28" s="118">
        <f>SUM('Stavební rozpočet'!AK12:AK170)+(F22+I22+F23+I23+I24+I25)</f>
      </c>
      <c r="D28" s="119" t="s">
        <v>493</v>
      </c>
      <c r="E28" s="114"/>
      <c r="F28" s="115">
        <f>ROUND(C28*(12/100),2)</f>
      </c>
      <c r="G28" s="119" t="s">
        <v>494</v>
      </c>
      <c r="H28" s="114"/>
      <c r="I28" s="115">
        <f>SUM(C27:C29)</f>
      </c>
    </row>
    <row r="29">
      <c r="A29" s="116" t="s">
        <v>495</v>
      </c>
      <c r="B29" s="117"/>
      <c r="C29" s="118">
        <f>SUM('Stavební rozpočet'!AL12:AL170)</f>
      </c>
      <c r="D29" s="120" t="s">
        <v>496</v>
      </c>
      <c r="E29" s="117"/>
      <c r="F29" s="118">
        <f>ROUND(C29*(21/100),2)</f>
      </c>
      <c r="G29" s="120" t="s">
        <v>497</v>
      </c>
      <c r="H29" s="117"/>
      <c r="I29" s="118">
        <f>SUM(F28:F29)+I28</f>
      </c>
    </row>
    <row r="31">
      <c r="A31" s="121" t="s">
        <v>498</v>
      </c>
      <c r="B31" s="122"/>
      <c r="C31" s="123"/>
      <c r="D31" s="124" t="s">
        <v>499</v>
      </c>
      <c r="E31" s="122"/>
      <c r="F31" s="123"/>
      <c r="G31" s="124" t="s">
        <v>500</v>
      </c>
      <c r="H31" s="122"/>
      <c r="I31" s="123"/>
    </row>
    <row r="32">
      <c r="A32" s="125" t="s">
        <v>45</v>
      </c>
      <c r="B32" s="126"/>
      <c r="C32" s="127"/>
      <c r="D32" s="128" t="s">
        <v>45</v>
      </c>
      <c r="E32" s="126"/>
      <c r="F32" s="127"/>
      <c r="G32" s="128" t="s">
        <v>45</v>
      </c>
      <c r="H32" s="126"/>
      <c r="I32" s="127"/>
    </row>
    <row r="33">
      <c r="A33" s="125" t="s">
        <v>45</v>
      </c>
      <c r="B33" s="126"/>
      <c r="C33" s="127"/>
      <c r="D33" s="128" t="s">
        <v>45</v>
      </c>
      <c r="E33" s="126"/>
      <c r="F33" s="127"/>
      <c r="G33" s="128" t="s">
        <v>45</v>
      </c>
      <c r="H33" s="126"/>
      <c r="I33" s="127"/>
    </row>
    <row r="34">
      <c r="A34" s="125" t="s">
        <v>45</v>
      </c>
      <c r="B34" s="126"/>
      <c r="C34" s="127"/>
      <c r="D34" s="128" t="s">
        <v>45</v>
      </c>
      <c r="E34" s="126"/>
      <c r="F34" s="127"/>
      <c r="G34" s="128" t="s">
        <v>45</v>
      </c>
      <c r="H34" s="126"/>
      <c r="I34" s="127"/>
    </row>
    <row r="35">
      <c r="A35" s="129" t="s">
        <v>501</v>
      </c>
      <c r="B35" s="130"/>
      <c r="C35" s="131"/>
      <c r="D35" s="132" t="s">
        <v>501</v>
      </c>
      <c r="E35" s="130"/>
      <c r="F35" s="131"/>
      <c r="G35" s="132" t="s">
        <v>501</v>
      </c>
      <c r="H35" s="130"/>
      <c r="I35" s="131"/>
    </row>
    <row r="36">
      <c r="A36" s="133" t="s">
        <v>457</v>
      </c>
    </row>
    <row r="37" customHeight="true" ht="12.75">
      <c r="A37" s="14" t="s">
        <v>45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83" t="s">
        <v>502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4</v>
      </c>
      <c r="F2" s="7">
        <f>'Stavební rozpočet'!I2</f>
      </c>
      <c r="G2" s="4"/>
      <c r="H2" s="7" t="s">
        <v>459</v>
      </c>
      <c r="I2" s="8" t="s">
        <v>45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459</v>
      </c>
      <c r="I4" s="12" t="s">
        <v>45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12</v>
      </c>
      <c r="F6" s="14">
        <f>'Stavební rozpočet'!I6</f>
      </c>
      <c r="G6" s="10"/>
      <c r="H6" s="14" t="s">
        <v>459</v>
      </c>
      <c r="I6" s="12" t="s">
        <v>45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rozpočet'!G4</f>
      </c>
      <c r="D8" s="10"/>
      <c r="E8" s="14" t="s">
        <v>11</v>
      </c>
      <c r="F8" s="14">
        <f>'Stavební rozpočet'!G6</f>
      </c>
      <c r="G8" s="10"/>
      <c r="H8" s="10" t="s">
        <v>460</v>
      </c>
      <c r="I8" s="84" t="n">
        <v>126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rozpočet'!C8</f>
      </c>
      <c r="D10" s="10"/>
      <c r="E10" s="14" t="s">
        <v>15</v>
      </c>
      <c r="F10" s="14">
        <f>'Stavební rozpočet'!I8</f>
      </c>
      <c r="G10" s="10"/>
      <c r="H10" s="10" t="s">
        <v>461</v>
      </c>
      <c r="I10" s="85">
        <f>'Stavební rozpočet'!G8</f>
      </c>
    </row>
    <row r="11">
      <c r="A11" s="75"/>
      <c r="B11" s="76"/>
      <c r="C11" s="76"/>
      <c r="D11" s="76"/>
      <c r="E11" s="76"/>
      <c r="F11" s="76"/>
      <c r="G11" s="76"/>
      <c r="H11" s="76"/>
      <c r="I11" s="86"/>
    </row>
    <row r="13">
      <c r="A13" s="134" t="s">
        <v>503</v>
      </c>
      <c r="B13" s="134"/>
      <c r="C13" s="134"/>
      <c r="D13" s="134"/>
      <c r="E13" s="134"/>
    </row>
    <row r="14">
      <c r="A14" s="135" t="s">
        <v>504</v>
      </c>
      <c r="B14" s="136"/>
      <c r="C14" s="136"/>
      <c r="D14" s="136"/>
      <c r="E14" s="137"/>
      <c r="F14" s="138" t="s">
        <v>505</v>
      </c>
      <c r="G14" s="138" t="s">
        <v>506</v>
      </c>
      <c r="H14" s="138" t="s">
        <v>507</v>
      </c>
      <c r="I14" s="138" t="s">
        <v>505</v>
      </c>
    </row>
    <row r="15">
      <c r="A15" s="139" t="s">
        <v>471</v>
      </c>
      <c r="B15" s="140"/>
      <c r="C15" s="140"/>
      <c r="D15" s="140"/>
      <c r="E15" s="141"/>
      <c r="F15" s="142" t="n">
        <v>0</v>
      </c>
      <c r="G15" s="143" t="s">
        <v>45</v>
      </c>
      <c r="H15" s="143" t="s">
        <v>45</v>
      </c>
      <c r="I15" s="142">
        <f>F15</f>
      </c>
    </row>
    <row r="16">
      <c r="A16" s="139" t="s">
        <v>473</v>
      </c>
      <c r="B16" s="140"/>
      <c r="C16" s="140"/>
      <c r="D16" s="140"/>
      <c r="E16" s="141"/>
      <c r="F16" s="142" t="n">
        <v>0</v>
      </c>
      <c r="G16" s="143" t="s">
        <v>45</v>
      </c>
      <c r="H16" s="143" t="s">
        <v>45</v>
      </c>
      <c r="I16" s="142">
        <f>F16</f>
      </c>
    </row>
    <row r="17">
      <c r="A17" s="144" t="s">
        <v>476</v>
      </c>
      <c r="B17" s="145"/>
      <c r="C17" s="145"/>
      <c r="D17" s="145"/>
      <c r="E17" s="146"/>
      <c r="F17" s="147" t="n">
        <v>0</v>
      </c>
      <c r="G17" s="148" t="s">
        <v>45</v>
      </c>
      <c r="H17" s="148" t="s">
        <v>45</v>
      </c>
      <c r="I17" s="147">
        <f>F17</f>
      </c>
    </row>
    <row r="18">
      <c r="A18" s="149" t="s">
        <v>508</v>
      </c>
      <c r="B18" s="150"/>
      <c r="C18" s="150"/>
      <c r="D18" s="150"/>
      <c r="E18" s="151"/>
      <c r="F18" s="152" t="s">
        <v>45</v>
      </c>
      <c r="G18" s="153" t="s">
        <v>45</v>
      </c>
      <c r="H18" s="153" t="s">
        <v>45</v>
      </c>
      <c r="I18" s="154">
        <f>SUM(I15:I17)</f>
      </c>
    </row>
    <row r="20">
      <c r="A20" s="135" t="s">
        <v>468</v>
      </c>
      <c r="B20" s="136"/>
      <c r="C20" s="136"/>
      <c r="D20" s="136"/>
      <c r="E20" s="137"/>
      <c r="F20" s="138" t="s">
        <v>505</v>
      </c>
      <c r="G20" s="138" t="s">
        <v>506</v>
      </c>
      <c r="H20" s="138" t="s">
        <v>507</v>
      </c>
      <c r="I20" s="138" t="s">
        <v>505</v>
      </c>
    </row>
    <row r="21">
      <c r="A21" s="139" t="s">
        <v>472</v>
      </c>
      <c r="B21" s="140"/>
      <c r="C21" s="140"/>
      <c r="D21" s="140"/>
      <c r="E21" s="141"/>
      <c r="F21" s="142" t="n">
        <v>0</v>
      </c>
      <c r="G21" s="143" t="s">
        <v>45</v>
      </c>
      <c r="H21" s="143" t="s">
        <v>45</v>
      </c>
      <c r="I21" s="142">
        <f>F21</f>
      </c>
    </row>
    <row r="22">
      <c r="A22" s="139" t="s">
        <v>474</v>
      </c>
      <c r="B22" s="140"/>
      <c r="C22" s="140"/>
      <c r="D22" s="140"/>
      <c r="E22" s="141"/>
      <c r="F22" s="142" t="n">
        <v>0</v>
      </c>
      <c r="G22" s="143" t="s">
        <v>45</v>
      </c>
      <c r="H22" s="143" t="s">
        <v>45</v>
      </c>
      <c r="I22" s="142">
        <f>F22</f>
      </c>
    </row>
    <row r="23">
      <c r="A23" s="139" t="s">
        <v>477</v>
      </c>
      <c r="B23" s="140"/>
      <c r="C23" s="140"/>
      <c r="D23" s="140"/>
      <c r="E23" s="141"/>
      <c r="F23" s="142" t="n">
        <v>0</v>
      </c>
      <c r="G23" s="143" t="s">
        <v>45</v>
      </c>
      <c r="H23" s="143" t="s">
        <v>45</v>
      </c>
      <c r="I23" s="142">
        <f>F23</f>
      </c>
    </row>
    <row r="24">
      <c r="A24" s="139" t="s">
        <v>478</v>
      </c>
      <c r="B24" s="140"/>
      <c r="C24" s="140"/>
      <c r="D24" s="140"/>
      <c r="E24" s="141"/>
      <c r="F24" s="142" t="n">
        <v>0</v>
      </c>
      <c r="G24" s="143" t="s">
        <v>45</v>
      </c>
      <c r="H24" s="143" t="s">
        <v>45</v>
      </c>
      <c r="I24" s="142">
        <f>F24</f>
      </c>
    </row>
    <row r="25">
      <c r="A25" s="139" t="s">
        <v>480</v>
      </c>
      <c r="B25" s="140"/>
      <c r="C25" s="140"/>
      <c r="D25" s="140"/>
      <c r="E25" s="141"/>
      <c r="F25" s="142" t="n">
        <v>0</v>
      </c>
      <c r="G25" s="143" t="s">
        <v>45</v>
      </c>
      <c r="H25" s="143" t="s">
        <v>45</v>
      </c>
      <c r="I25" s="142">
        <f>F25</f>
      </c>
    </row>
    <row r="26">
      <c r="A26" s="144" t="s">
        <v>481</v>
      </c>
      <c r="B26" s="145"/>
      <c r="C26" s="145"/>
      <c r="D26" s="145"/>
      <c r="E26" s="146"/>
      <c r="F26" s="147" t="n">
        <v>0</v>
      </c>
      <c r="G26" s="148" t="s">
        <v>45</v>
      </c>
      <c r="H26" s="148" t="s">
        <v>45</v>
      </c>
      <c r="I26" s="147">
        <f>F26</f>
      </c>
    </row>
    <row r="27">
      <c r="A27" s="149" t="s">
        <v>509</v>
      </c>
      <c r="B27" s="150"/>
      <c r="C27" s="150"/>
      <c r="D27" s="150"/>
      <c r="E27" s="151"/>
      <c r="F27" s="152" t="s">
        <v>45</v>
      </c>
      <c r="G27" s="153" t="s">
        <v>45</v>
      </c>
      <c r="H27" s="153" t="s">
        <v>45</v>
      </c>
      <c r="I27" s="154">
        <f>SUM(I21:I26)</f>
      </c>
    </row>
    <row r="29">
      <c r="A29" s="155" t="s">
        <v>510</v>
      </c>
      <c r="B29" s="156"/>
      <c r="C29" s="156"/>
      <c r="D29" s="156"/>
      <c r="E29" s="157"/>
      <c r="F29" s="158">
        <f>I18+I27</f>
      </c>
      <c r="G29" s="159"/>
      <c r="H29" s="159"/>
      <c r="I29" s="160"/>
    </row>
    <row r="33">
      <c r="A33" s="134" t="s">
        <v>511</v>
      </c>
      <c r="B33" s="134"/>
      <c r="C33" s="134"/>
      <c r="D33" s="134"/>
      <c r="E33" s="134"/>
    </row>
    <row r="34">
      <c r="A34" s="135" t="s">
        <v>512</v>
      </c>
      <c r="B34" s="136"/>
      <c r="C34" s="136"/>
      <c r="D34" s="136"/>
      <c r="E34" s="137"/>
      <c r="F34" s="138" t="s">
        <v>505</v>
      </c>
      <c r="G34" s="138" t="s">
        <v>506</v>
      </c>
      <c r="H34" s="138" t="s">
        <v>507</v>
      </c>
      <c r="I34" s="138" t="s">
        <v>505</v>
      </c>
    </row>
    <row r="35">
      <c r="A35" s="144" t="s">
        <v>45</v>
      </c>
      <c r="B35" s="145"/>
      <c r="C35" s="145"/>
      <c r="D35" s="145"/>
      <c r="E35" s="146"/>
      <c r="F35" s="147" t="n">
        <v>0</v>
      </c>
      <c r="G35" s="148" t="s">
        <v>45</v>
      </c>
      <c r="H35" s="148" t="s">
        <v>45</v>
      </c>
      <c r="I35" s="147">
        <f>F35</f>
      </c>
    </row>
    <row r="36">
      <c r="A36" s="149" t="s">
        <v>513</v>
      </c>
      <c r="B36" s="150"/>
      <c r="C36" s="150"/>
      <c r="D36" s="150"/>
      <c r="E36" s="151"/>
      <c r="F36" s="152" t="s">
        <v>45</v>
      </c>
      <c r="G36" s="153" t="s">
        <v>45</v>
      </c>
      <c r="H36" s="153" t="s">
        <v>45</v>
      </c>
      <c r="I36" s="154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